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https://cadentgasltd.sharepoint.com/sites/RFPR-RIIO-GD2Workstream/Shared Documents/General/Master Files for upload/WEBSITE/"/>
    </mc:Choice>
  </mc:AlternateContent>
  <xr:revisionPtr revIDLastSave="7" documentId="13_ncr:1_{41765E94-62B9-4440-92D4-507762E376FB}" xr6:coauthVersionLast="47" xr6:coauthVersionMax="47" xr10:uidLastSave="{C07B33F5-7EC3-4D25-B952-51B92D47CC81}"/>
  <bookViews>
    <workbookView xWindow="-98" yWindow="-98" windowWidth="20715" windowHeight="13276" tabRatio="827" firstSheet="3" activeTab="8" xr2:uid="{00000000-000D-0000-FFFF-FFFF00000000}"/>
  </bookViews>
  <sheets>
    <sheet name="RFPR cover" sheetId="13" r:id="rId1"/>
    <sheet name="Data" sheetId="28" r:id="rId2"/>
    <sheet name="Content &amp; Version Control" sheetId="21" r:id="rId3"/>
    <sheet name="Change log" sheetId="14" r:id="rId4"/>
    <sheet name="R1 - RoRE" sheetId="1" r:id="rId5"/>
    <sheet name="R2 - Rec to Revenue and Profit" sheetId="4" r:id="rId6"/>
    <sheet name="R3 - Totex - Reconciliation" sheetId="2" r:id="rId7"/>
    <sheet name="R4 - Incentives and Other Rev" sheetId="5" r:id="rId8"/>
    <sheet name="R5 - Financing" sheetId="17" r:id="rId9"/>
    <sheet name="R6 - Net Debt" sheetId="27" r:id="rId10"/>
    <sheet name="R7 - RAV" sheetId="10" r:id="rId11"/>
    <sheet name="R8 - Tax" sheetId="29" r:id="rId12"/>
    <sheet name="R8a - Tax Reconciliation" sheetId="35" r:id="rId13"/>
    <sheet name="R9 - Corporate Governance" sheetId="11" r:id="rId14"/>
    <sheet name="R10 - Pensions &amp; Oth Activities" sheetId="19" r:id="rId15"/>
  </sheets>
  <externalReferences>
    <externalReference r:id="rId16"/>
    <externalReference r:id="rId17"/>
    <externalReference r:id="rId18"/>
    <externalReference r:id="rId19"/>
    <externalReference r:id="rId20"/>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12" hidden="1">'R8a - Tax Reconciliation'!$A$9:$N$100</definedName>
    <definedName name="_Order2" hidden="1">0</definedName>
    <definedName name="Adjusted_regulated_tax_liability">'R8 - Tax'!$E$34:$I$34</definedName>
    <definedName name="Adjusted_regulated_tax_liability__Reporting_Year">'R8 - Tax'!$E$34:$I$34</definedName>
    <definedName name="ARCMt">'[1]R4 Licence Condition Values'!$G$32:$N$32</definedName>
    <definedName name="ARtDR5" comment="Allowed distribution netwrok reveue in 2014/15">'[1]R5 Input Page'!$E$48:$F$48</definedName>
    <definedName name="AUM">'[1]R5 Input Page'!$G$133:$N$133</definedName>
    <definedName name="BMt_2">'[1]R5 Input Page'!$E$65:$F$65</definedName>
    <definedName name="BPC">'[1]R5 Input Page'!$G$123:$N$123</definedName>
    <definedName name="Business_Plan_Incentive" localSheetId="12">'[2]R1 - RoRE'!$D$60:$H$60</definedName>
    <definedName name="Business_Plan_Incentive">'R1 - RoRE'!$D$67:$H$67</definedName>
    <definedName name="calendar_year" localSheetId="12">[2]Data!$E$25:$L$25</definedName>
    <definedName name="calendar_year">Data!$E$25:$L$25</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M">'[1]R5 Input Page'!$G$71:$N$71</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ombined_real_to_nominal_prices_conversion_factor__financial_year_end">Data!$E$28:$K$28</definedName>
    <definedName name="Corporate_Tax" localSheetId="12">[2]Data!$C$18:$N$18</definedName>
    <definedName name="Corporate_Tax">Data!$C$18:$N$18</definedName>
    <definedName name="Cost_of_Equity" localSheetId="12">[2]Data!$C$6</definedName>
    <definedName name="Cost_of_Equity">Data!$C$6</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ADt">'[1]R4 Licence Condition Values'!$G$25:$N$25</definedName>
    <definedName name="CSAUt">'[1]R4 Licence Condition Values'!$G$19:$N$19</definedName>
    <definedName name="CSBDt">'[1]R4 Licence Condition Values'!$G$28:$N$28</definedName>
    <definedName name="CSBUt">'[1]R4 Licence Condition Values'!$G$21:$N$21</definedName>
    <definedName name="CSCDt">'[1]R4 Licence Condition Values'!$G$30:$N$30</definedName>
    <definedName name="CSCUt">'[1]R4 Licence Condition Values'!$G$23:$N$23</definedName>
    <definedName name="CT">'[1]R5 Input Page'!$G$35:$N$35</definedName>
    <definedName name="Debt_performance___at_notional_gearing" localSheetId="12">'[2]R1 - RoRE'!$D$74:$H$74</definedName>
    <definedName name="Debt_performance___at_notional_gearing">'R1 - RoRE'!$D$84:$H$84</definedName>
    <definedName name="Debt_performance___impact_of_actual_gearing" localSheetId="12">'[2]R1 - RoRE'!$D$75:$H$75</definedName>
    <definedName name="Debt_performance___impact_of_actual_gearing">'R1 - RoRE'!$D$85:$H$85</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quity_RAV_based_on_actual_gearing" localSheetId="12">'[2]R1 - RoRE'!$D$81:$H$81</definedName>
    <definedName name="Equity_RAV_based_on_actual_gearing">'R1 - RoRE'!$D$91:$H$91</definedName>
    <definedName name="Equity_Return_on_the_RAV" localSheetId="12">'[2]R1 - RoRE'!$D$58:$H$58</definedName>
    <definedName name="Equity_Return_on_the_RAV">'R1 - RoRE'!$D$65:$H$65</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ICEO">'[1]R5 Input Page'!$G$106:$N$106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1t">'[1]R5 Input Page'!$G$129:$N$129</definedName>
    <definedName name="LCN2t">'[1]R5 Input Page'!$G$128:$N$128</definedName>
    <definedName name="LDRO">'[1]R5 Input Page'!$G$119:$N$119</definedName>
    <definedName name="LF">'[1]R8 Pass-Through Items'!$G$26:$N$26</definedName>
    <definedName name="LFA">'[1]R5 Input Page'!$G$53:$N$53</definedName>
    <definedName name="LFE">'[1]R4 Licence Condition Values'!$G$10:$N$10</definedName>
    <definedName name="Licensee">'RFPR cover'!$C$7</definedName>
    <definedName name="LookupK">'[1]R13 Correction Factor'!$B$80:$H$93</definedName>
    <definedName name="LookupPPLD">'[1]R12 DPCR4 Losses and Growth'!$D$38:$N$51</definedName>
    <definedName name="materiality_threshold" localSheetId="12">[2]Data!$F$7</definedName>
    <definedName name="materiality_threshold">Data!$F$7</definedName>
    <definedName name="MOD">'[1]R5 Input Page'!$G$44:$N$44</definedName>
    <definedName name="N_A">'R8 - Tax'!$E$11:$H$11</definedName>
    <definedName name="Navigate">'RFPR cover'!$D$2</definedName>
    <definedName name="NCPD">'[1]R5 Input Page'!$G$102:$N$102</definedName>
    <definedName name="NCPM">'[1]R5 Input Page'!$G$101:$N$101</definedName>
    <definedName name="NIAR">'[1]R5 Input Page'!$G$124:$N$124</definedName>
    <definedName name="NIAV">'[1]R4 Licence Condition Values'!$F$56</definedName>
    <definedName name="Notional_Gearing" localSheetId="12">[2]Data!$C$8</definedName>
    <definedName name="Notional_Gearing">Data!$C$8</definedName>
    <definedName name="NPV_neutral_equity_element_of_RAV" localSheetId="12">'[2]R1 - RoRE'!$D$80:$H$80</definedName>
    <definedName name="NPV_neutral_equity_element_of_RAV">'R1 - RoRE'!$D$90:$H$90</definedName>
    <definedName name="ODI_1" localSheetId="12">'[2]R1 - RoRE'!$D$61:$H$61</definedName>
    <definedName name="ODI_1">'R1 - RoRE'!$D$68:$H$68</definedName>
    <definedName name="ODI_2" localSheetId="12">'[2]R1 - RoRE'!$D$62:$H$62</definedName>
    <definedName name="ODI_2">'R1 - RoRE'!$D$69:$H$69</definedName>
    <definedName name="ODI_3" localSheetId="12">'[2]R1 - RoRE'!$D$63:$H$63</definedName>
    <definedName name="ODI_3">'R1 - RoRE'!$D$70:$H$70</definedName>
    <definedName name="ODI_4" localSheetId="12">'[2]R1 - RoRE'!$D$64:$H$64</definedName>
    <definedName name="ODI_4">'R1 - RoRE'!$D$71:$H$71</definedName>
    <definedName name="ODI_5" localSheetId="12">'[2]R1 - RoRE'!$D$65:$H$65</definedName>
    <definedName name="ODI_5">'R1 - RoRE'!$D$72:$H$72</definedName>
    <definedName name="ODI_6" localSheetId="12">'[2]R1 - RoRE'!$D$66:$H$66</definedName>
    <definedName name="ODI_6">'R1 - RoRE'!$D$73:$H$73</definedName>
    <definedName name="OOEE">'[1]R5 Input Page'!$G$103:$N$103</definedName>
    <definedName name="ORA_1" localSheetId="12">'[2]R1 - RoRE'!$D$67:$H$67</definedName>
    <definedName name="ORA_1">'R1 - RoRE'!$D$74:$H$74</definedName>
    <definedName name="ORA_2" localSheetId="12">'[2]R1 - RoRE'!$D$68:$H$68</definedName>
    <definedName name="ORA_2">'R1 - RoRE'!$D$75:$H$75</definedName>
    <definedName name="ORA_3" localSheetId="12">'[2]R1 - RoRE'!$D$69:$H$69</definedName>
    <definedName name="ORA_3">'R1 - RoRE'!$D$76:$H$76</definedName>
    <definedName name="ORA_4" localSheetId="12">'[2]R1 - RoRE'!$D$70:$H$70</definedName>
    <definedName name="ORA_4">'R1 - RoRE'!$D$77:$H$77</definedName>
    <definedName name="ORA_5" localSheetId="12">'[2]R1 - RoRE'!$D$71:$H$71</definedName>
    <definedName name="ORA_5">'R1 - RoRE'!$D$78:$H$78</definedName>
    <definedName name="ORA_6">'R1 - RoRE'!$D$79:$H$79</definedName>
    <definedName name="ORA_7">'R1 - RoRE'!$D$80:$H$80</definedName>
    <definedName name="ORA_8">'R1 - RoRE'!$D$81:$H$81</definedName>
    <definedName name="PCUDPO">'[1]R5 Input Page'!$G$74:$N$74</definedName>
    <definedName name="PCUDPT">'[1]R5 Input Page'!$G$75:$N$75</definedName>
    <definedName name="Penalties_and_fines" localSheetId="12">'[2]R1 - RoRE'!$D$72:$H$72</definedName>
    <definedName name="Penalties_and_fines">'R1 - RoRE'!$D$82:$H$82</definedName>
    <definedName name="POF">'[1]R5 Input Page'!$G$77:$N$77</definedName>
    <definedName name="PPL">'[1]R12 DPCR4 Losses and Growth'!$G$34:$N$34</definedName>
    <definedName name="PRC">'[1]R5 Input Page'!$G$76:$N$76</definedName>
    <definedName name="Price_basis">Data!$C$9</definedName>
    <definedName name="_xlnm.Print_Area" localSheetId="3">'Change log'!$A$1:$D$61</definedName>
    <definedName name="_xlnm.Print_Area" localSheetId="2">'Content &amp; Version Control'!$A$1:$H$19</definedName>
    <definedName name="_xlnm.Print_Area" localSheetId="4">'R1 - RoRE'!$A$1:$L$64</definedName>
    <definedName name="_xlnm.Print_Area" localSheetId="14">'R10 - Pensions &amp; Oth Activities'!$A$1:$H$44</definedName>
    <definedName name="_xlnm.Print_Area" localSheetId="5">'R2 - Rec to Revenue and Profit'!$A$1:$J$62</definedName>
    <definedName name="_xlnm.Print_Area" localSheetId="6">'R3 - Totex - Reconciliation'!$A$1:$J$101</definedName>
    <definedName name="_xlnm.Print_Area" localSheetId="7">'R4 - Incentives and Other Rev'!$A$1:$I$32</definedName>
    <definedName name="_xlnm.Print_Area" localSheetId="8">'R5 - Financing'!$A$1:$I$83</definedName>
    <definedName name="_xlnm.Print_Area" localSheetId="9">'R6 - Net Debt'!$A$1:$I$53</definedName>
    <definedName name="_xlnm.Print_Area" localSheetId="10">'R7 - RAV'!$A$1:$J$38</definedName>
    <definedName name="_xlnm.Print_Area" localSheetId="11">'R8 - Tax'!$A$1:$J$42</definedName>
    <definedName name="_xlnm.Print_Area" localSheetId="12">'R8a - Tax Reconciliation'!$A$1:$M$100</definedName>
    <definedName name="_xlnm.Print_Area" localSheetId="13">'R9 - Corporate Governance'!$A$1:$I$18</definedName>
    <definedName name="_xlnm.Print_Area" localSheetId="0">'RFPR cover'!$A$2:$K$82</definedName>
    <definedName name="_xlnm.Print_Titles" localSheetId="12">'R8a - Tax Reconciliation'!$8:$9</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RB">'[1]R8 Pass-Through Items'!$G$36:$N$36</definedName>
    <definedName name="RBA">'[1]R5 Input Page'!$G$54:$N$54</definedName>
    <definedName name="RBE">'[1]R4 Licence Condition Values'!$G$11:$N$11</definedName>
    <definedName name="RD">'[1]R5 Input Page'!$F$47:$N$47</definedName>
    <definedName name="real_to_nominal_CF" localSheetId="12">[2]Data!$E$26:$L$26</definedName>
    <definedName name="real_to_nominal_CF">Data!$E$26:$L$26</definedName>
    <definedName name="Reporting_Year">'RFPR cover'!$C$9</definedName>
    <definedName name="reporting_yearCov">'RFPR cover'!$C$9</definedName>
    <definedName name="RF">'[1]R8 Pass-Through Items'!$G$77:$N$77</definedName>
    <definedName name="RFA">'[1]R5 Input Page'!$G$59:$N$59</definedName>
    <definedName name="RFE">'[1]R4 Licence Condition Values'!$G$15:$N$15</definedName>
    <definedName name="RIIO_2_start_date" localSheetId="12">[2]Data!$C$9</definedName>
    <definedName name="RIIO_2_start_date">'RFPR cover'!$C$6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oRE___including_financing_and_tax">'R1 - RoRE'!$D$88:$H$88</definedName>
    <definedName name="RoRE___Operational_performance">'R1 - RoRE'!$D$83:$H$83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ector">'RFPR cover'!$C$8</definedName>
    <definedName name="SectorCov" localSheetId="12">'[2]RFPR cover'!$C$6</definedName>
    <definedName name="SectorCov">'RFPR cover'!$C$8</definedName>
    <definedName name="Sharing_Factor">Data!$C$7</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[4]!Features_table[[#All],[Column1]]</definedName>
    <definedName name="Statutory_Tax_Reporting_Year" localSheetId="12">'R8a - Tax Reconciliation'!#REF!</definedName>
    <definedName name="Statutory_Tax_Reporting_Year">#REF!</definedName>
    <definedName name="Submitted_Date">'RFPR cover'!$C$11</definedName>
    <definedName name="SWPD">'[1]R5 Input Page'!$G$99:$N$99</definedName>
    <definedName name="SWPM">'[1]R5 Input Page'!$G$98:$N$98</definedName>
    <definedName name="TAUt">'[1]R4 Licence Condition Values'!$G$36:$N$36</definedName>
    <definedName name="Tax_liability_per_latest_statutory_accounts___Historical">'R8 - Tax'!#REF!</definedName>
    <definedName name="Tax_liability_per_latest_submitted_CT600____Historical">'R8 - Tax'!#REF!</definedName>
    <definedName name="Tax_liability_per_latest_submitted_CT600____Reporting_Year">'R8 - Tax'!$E$11:$I$11</definedName>
    <definedName name="Tax_performance___at_notional_gearing" localSheetId="12">'[2]R1 - RoRE'!$D$76:$H$76</definedName>
    <definedName name="Tax_performance___at_notional_gearing">'R1 - RoRE'!$D$86:$H$86</definedName>
    <definedName name="Tax_performance___impact_of_actual_gearing" localSheetId="12">'[2]R1 - RoRE'!$D$77:$H$77</definedName>
    <definedName name="Tax_performance___impact_of_actual_gearing">'R1 - RoRE'!$D$87:$H$87</definedName>
    <definedName name="TB">'[1]R8 Pass-Through Items'!$G$46:$N$46</definedName>
    <definedName name="TBUt">'[1]R4 Licence Condition Values'!$G$39:$N$39</definedName>
    <definedName name="TCAIt">'[1]R4 Licence Condition Values'!$G$51:$N$51</definedName>
    <definedName name="TCAP">'[1]R5 Input Page'!$G$113:$N$113</definedName>
    <definedName name="TCAREt">'[1]R4 Licence Condition Values'!$G$50:$N$50</definedName>
    <definedName name="TCAT">'[1]R5 Input Page'!$G$114:$N$114</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otex_outperformance" localSheetId="12">'[2]R1 - RoRE'!$D$59:$H$59</definedName>
    <definedName name="Totex_outperformance">'R1 - RoRE'!$D$66:$H$66</definedName>
    <definedName name="TQAIt">'[1]R4 Licence Condition Values'!$G$47:$N$47</definedName>
    <definedName name="TQAP">'[1]R5 Input Page'!$G$109:$N$109</definedName>
    <definedName name="TQAREt">'[1]R4 Licence Condition Values'!$G$46:$N$46</definedName>
    <definedName name="TQAT">'[1]R5 Input Page'!$G$110:$N$110</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UCPIR">'[1]R4 Licence Condition Values'!$G$27:$N$27</definedName>
    <definedName name="UNC">'[1]R5 Input Page'!$G$61:$N$61</definedName>
    <definedName name="Version__Number">'RFPR cover'!$C$10</definedName>
    <definedName name="Year">'[5]Pension Pack cover'!$B$80:$B$99</definedName>
    <definedName name="YEFactor">Data!$E$28:$L$28</definedName>
    <definedName name="YEFactor_change" localSheetId="12">[2]Data!$E$27:$L$27</definedName>
    <definedName name="YEFactor_change">Data!$E$27:$L$27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1" i="4" l="1"/>
  <c r="I20" i="10"/>
  <c r="H20" i="10"/>
  <c r="E17" i="10" l="1"/>
  <c r="E20" i="10"/>
  <c r="F20" i="10"/>
  <c r="G20" i="10"/>
  <c r="D187" i="2"/>
  <c r="L19" i="28" l="1"/>
  <c r="M19" i="28" s="1"/>
  <c r="N19" i="28" s="1"/>
  <c r="K19" i="28"/>
  <c r="K17" i="28"/>
  <c r="L17" i="28" s="1"/>
  <c r="M17" i="28" s="1"/>
  <c r="N17" i="28" s="1"/>
  <c r="K16" i="28"/>
  <c r="L16" i="28" s="1"/>
  <c r="M16" i="28" s="1"/>
  <c r="N16" i="28" s="1"/>
  <c r="C18" i="4"/>
  <c r="C16" i="4"/>
  <c r="I92" i="35"/>
  <c r="I74" i="35"/>
  <c r="I75" i="35"/>
  <c r="I76" i="35"/>
  <c r="I77" i="35"/>
  <c r="I78" i="35"/>
  <c r="I79" i="35"/>
  <c r="I80" i="35"/>
  <c r="I68" i="35"/>
  <c r="I69" i="35"/>
  <c r="I70" i="35"/>
  <c r="I71" i="35"/>
  <c r="I57" i="35"/>
  <c r="I58" i="35"/>
  <c r="I59" i="35"/>
  <c r="I60" i="35"/>
  <c r="I61" i="35"/>
  <c r="I62" i="35"/>
  <c r="I50" i="35"/>
  <c r="I51" i="35"/>
  <c r="I52" i="35"/>
  <c r="I53" i="35"/>
  <c r="I54" i="35"/>
  <c r="I55" i="35"/>
  <c r="K58" i="35"/>
  <c r="I56" i="35"/>
  <c r="K56" i="35" s="1"/>
  <c r="K59" i="35"/>
  <c r="D16" i="35"/>
  <c r="B6" i="35"/>
  <c r="I91" i="35" l="1"/>
  <c r="I90" i="35"/>
  <c r="I89" i="35"/>
  <c r="I88" i="35"/>
  <c r="I87" i="35"/>
  <c r="I67" i="35"/>
  <c r="I66" i="35"/>
  <c r="I65" i="35"/>
  <c r="I26" i="35"/>
  <c r="I25" i="35"/>
  <c r="I20" i="35"/>
  <c r="I19" i="35"/>
  <c r="I18" i="35"/>
  <c r="I17" i="35"/>
  <c r="I16" i="35"/>
  <c r="I23" i="35" s="1"/>
  <c r="H23" i="35"/>
  <c r="H32" i="35" s="1"/>
  <c r="H45" i="35" s="1"/>
  <c r="H82" i="35" s="1"/>
  <c r="H94" i="35" s="1"/>
  <c r="H96" i="35" s="1"/>
  <c r="I32" i="35" l="1"/>
  <c r="I45" i="35" s="1"/>
  <c r="I82" i="35" s="1"/>
  <c r="I94" i="35" s="1"/>
  <c r="I96" i="35" s="1"/>
  <c r="F65" i="4" l="1"/>
  <c r="E23" i="35" l="1"/>
  <c r="B11" i="35"/>
  <c r="K25" i="35" l="1"/>
  <c r="K62" i="35"/>
  <c r="K55" i="35"/>
  <c r="K65" i="35"/>
  <c r="K75" i="35"/>
  <c r="K88" i="35"/>
  <c r="K66" i="35"/>
  <c r="K76" i="35"/>
  <c r="K89" i="35"/>
  <c r="K54" i="35"/>
  <c r="K26" i="35"/>
  <c r="K57" i="35"/>
  <c r="K67" i="35"/>
  <c r="K77" i="35"/>
  <c r="K90" i="35"/>
  <c r="K74" i="35"/>
  <c r="K50" i="35"/>
  <c r="K91" i="35"/>
  <c r="K51" i="35"/>
  <c r="K69" i="35"/>
  <c r="K79" i="35"/>
  <c r="K92" i="35"/>
  <c r="K87" i="35"/>
  <c r="K68" i="35"/>
  <c r="K78" i="35"/>
  <c r="K52" i="35"/>
  <c r="K60" i="35"/>
  <c r="K70" i="35"/>
  <c r="K80" i="35"/>
  <c r="K53" i="35"/>
  <c r="K61" i="35"/>
  <c r="K71" i="35"/>
  <c r="E32" i="35"/>
  <c r="E45" i="35" l="1"/>
  <c r="E82" i="35" l="1"/>
  <c r="E94" i="35" l="1"/>
  <c r="E96" i="35" l="1"/>
  <c r="D54" i="5" l="1"/>
  <c r="B3" i="35" l="1"/>
  <c r="A3" i="29" l="1"/>
  <c r="E6" i="29"/>
  <c r="E5" i="29" s="1"/>
  <c r="E7" i="29"/>
  <c r="F26" i="10"/>
  <c r="I26" i="10"/>
  <c r="H26" i="10"/>
  <c r="G26" i="10"/>
  <c r="E26" i="10"/>
  <c r="F191" i="28"/>
  <c r="F190" i="28"/>
  <c r="F79" i="28"/>
  <c r="H59" i="2"/>
  <c r="G59" i="2"/>
  <c r="F59" i="2"/>
  <c r="E59" i="2"/>
  <c r="D59" i="2"/>
  <c r="J58" i="2"/>
  <c r="J57" i="2"/>
  <c r="H30" i="2"/>
  <c r="G30" i="2"/>
  <c r="F30" i="2"/>
  <c r="E30" i="2"/>
  <c r="D30" i="2"/>
  <c r="J29" i="2"/>
  <c r="J28" i="2"/>
  <c r="D55" i="5"/>
  <c r="F101" i="4"/>
  <c r="G101" i="4"/>
  <c r="H101" i="4"/>
  <c r="I101" i="4"/>
  <c r="E101" i="4"/>
  <c r="D7" i="2"/>
  <c r="D23" i="35" l="1"/>
  <c r="J59" i="2"/>
  <c r="J30" i="2"/>
  <c r="B5" i="35"/>
  <c r="D32" i="35" l="1"/>
  <c r="K23" i="35"/>
  <c r="E57" i="11"/>
  <c r="F57" i="11"/>
  <c r="G57" i="11"/>
  <c r="H57" i="11"/>
  <c r="D57" i="11"/>
  <c r="D45" i="35" l="1"/>
  <c r="K32" i="35"/>
  <c r="E25" i="28"/>
  <c r="D27" i="28"/>
  <c r="E55" i="5"/>
  <c r="F55" i="5"/>
  <c r="G55" i="5"/>
  <c r="H55" i="5"/>
  <c r="D48" i="5"/>
  <c r="E41" i="5"/>
  <c r="F41" i="5"/>
  <c r="G41" i="5"/>
  <c r="H41" i="5"/>
  <c r="D41" i="5"/>
  <c r="D82" i="35" l="1"/>
  <c r="K45" i="35"/>
  <c r="D24" i="28"/>
  <c r="D94" i="35" l="1"/>
  <c r="K82" i="35"/>
  <c r="B76" i="1"/>
  <c r="B49" i="1" s="1"/>
  <c r="H54" i="5"/>
  <c r="G54" i="5"/>
  <c r="F54" i="5"/>
  <c r="E54" i="5"/>
  <c r="D96" i="35" l="1"/>
  <c r="K94" i="35"/>
  <c r="B22" i="1"/>
  <c r="A3" i="4"/>
  <c r="B3" i="5" l="1"/>
  <c r="D78" i="1" l="1"/>
  <c r="E78" i="1"/>
  <c r="F78" i="1"/>
  <c r="G78" i="1"/>
  <c r="H78" i="1"/>
  <c r="D79" i="1"/>
  <c r="E79" i="1"/>
  <c r="F79" i="1"/>
  <c r="G79" i="1"/>
  <c r="H79" i="1"/>
  <c r="D80" i="1"/>
  <c r="E80" i="1"/>
  <c r="F80" i="1"/>
  <c r="G80" i="1"/>
  <c r="H80" i="1"/>
  <c r="D81" i="1"/>
  <c r="E81" i="1"/>
  <c r="F81" i="1"/>
  <c r="G81" i="1"/>
  <c r="H81" i="1"/>
  <c r="E77" i="1"/>
  <c r="F77" i="1"/>
  <c r="G77" i="1"/>
  <c r="H77" i="1"/>
  <c r="D77" i="1"/>
  <c r="E75" i="1"/>
  <c r="F75" i="1"/>
  <c r="G75" i="1"/>
  <c r="H75" i="1"/>
  <c r="B75" i="1"/>
  <c r="B74" i="1"/>
  <c r="E67" i="1" l="1"/>
  <c r="F67" i="1"/>
  <c r="G67" i="1"/>
  <c r="H67" i="1"/>
  <c r="D67" i="1"/>
  <c r="D69" i="1" l="1"/>
  <c r="E69" i="1"/>
  <c r="F69" i="1"/>
  <c r="G69" i="1"/>
  <c r="H69" i="1"/>
  <c r="D70" i="1"/>
  <c r="E70" i="1"/>
  <c r="F70" i="1"/>
  <c r="G70" i="1"/>
  <c r="H70" i="1"/>
  <c r="D71" i="1"/>
  <c r="E71" i="1"/>
  <c r="F71" i="1"/>
  <c r="G71" i="1"/>
  <c r="H71" i="1"/>
  <c r="D72" i="1"/>
  <c r="E72" i="1"/>
  <c r="F72" i="1"/>
  <c r="G72" i="1"/>
  <c r="H72" i="1"/>
  <c r="D73" i="1"/>
  <c r="E73" i="1"/>
  <c r="F73" i="1"/>
  <c r="G73" i="1"/>
  <c r="H73" i="1"/>
  <c r="E68" i="1"/>
  <c r="F68" i="1"/>
  <c r="G68" i="1"/>
  <c r="H68" i="1"/>
  <c r="D68" i="1"/>
  <c r="E25" i="2" l="1"/>
  <c r="F25" i="2"/>
  <c r="G25" i="2"/>
  <c r="H25" i="2"/>
  <c r="F23" i="10" l="1"/>
  <c r="G23" i="10"/>
  <c r="H23" i="10"/>
  <c r="I23" i="10"/>
  <c r="E23" i="10"/>
  <c r="E24" i="10" s="1"/>
  <c r="F17" i="10" s="1"/>
  <c r="E152" i="2" l="1"/>
  <c r="F152" i="2"/>
  <c r="G152" i="2"/>
  <c r="H152" i="2"/>
  <c r="E143" i="2"/>
  <c r="F74" i="4" s="1"/>
  <c r="F143" i="2"/>
  <c r="G74" i="4" s="1"/>
  <c r="G143" i="2"/>
  <c r="G153" i="2" s="1"/>
  <c r="H143" i="2"/>
  <c r="H153" i="2" s="1"/>
  <c r="D143" i="2"/>
  <c r="D152" i="2"/>
  <c r="D153" i="2" l="1"/>
  <c r="F153" i="2"/>
  <c r="I74" i="4"/>
  <c r="E153" i="2"/>
  <c r="H74" i="4"/>
  <c r="F88" i="4" l="1"/>
  <c r="F90" i="4" s="1"/>
  <c r="G88" i="4"/>
  <c r="G90" i="4" s="1"/>
  <c r="H88" i="4"/>
  <c r="H90" i="4" s="1"/>
  <c r="I88" i="4"/>
  <c r="I90" i="4" s="1"/>
  <c r="C43" i="19" l="1"/>
  <c r="C42" i="19"/>
  <c r="C40" i="19"/>
  <c r="C39" i="19"/>
  <c r="C37" i="19"/>
  <c r="C36" i="19"/>
  <c r="C34" i="19"/>
  <c r="C33" i="19"/>
  <c r="C13" i="4" l="1"/>
  <c r="C14" i="4"/>
  <c r="C15" i="4"/>
  <c r="C17" i="4"/>
  <c r="D25" i="2" l="1"/>
  <c r="H83" i="2" l="1"/>
  <c r="G83" i="2"/>
  <c r="F83" i="2"/>
  <c r="E83" i="2"/>
  <c r="D83" i="2"/>
  <c r="J82" i="2"/>
  <c r="J81" i="2"/>
  <c r="H54" i="2"/>
  <c r="G54" i="2"/>
  <c r="F54" i="2"/>
  <c r="E54" i="2"/>
  <c r="D54" i="2"/>
  <c r="J53" i="2"/>
  <c r="J52" i="2"/>
  <c r="J83" i="2" l="1"/>
  <c r="J54" i="2"/>
  <c r="J25" i="2"/>
  <c r="J24" i="2" l="1"/>
  <c r="J23" i="2"/>
  <c r="B3" i="1" l="1"/>
  <c r="F68" i="4" l="1"/>
  <c r="G68" i="4"/>
  <c r="H68" i="4"/>
  <c r="I68" i="4"/>
  <c r="E88" i="4"/>
  <c r="E90" i="4" s="1"/>
  <c r="D61" i="11" l="1"/>
  <c r="F67" i="4" l="1"/>
  <c r="G67" i="4"/>
  <c r="H67" i="4"/>
  <c r="I67" i="4"/>
  <c r="E67" i="4"/>
  <c r="B3" i="17" l="1"/>
  <c r="B3" i="27" l="1"/>
  <c r="C8" i="28"/>
  <c r="E17" i="2"/>
  <c r="E33" i="2" s="1"/>
  <c r="E46" i="2"/>
  <c r="E62" i="2" s="1"/>
  <c r="E75" i="2"/>
  <c r="D6" i="5"/>
  <c r="C8" i="13"/>
  <c r="B4" i="35" s="1"/>
  <c r="F17" i="2"/>
  <c r="F33" i="2" s="1"/>
  <c r="F46" i="2"/>
  <c r="F62" i="2" s="1"/>
  <c r="F75" i="2"/>
  <c r="G17" i="2"/>
  <c r="G33" i="2" s="1"/>
  <c r="G46" i="2"/>
  <c r="G62" i="2" s="1"/>
  <c r="G75" i="2"/>
  <c r="H17" i="2"/>
  <c r="H33" i="2" s="1"/>
  <c r="H46" i="2"/>
  <c r="H62" i="2" s="1"/>
  <c r="H75" i="2"/>
  <c r="D17" i="2"/>
  <c r="D33" i="2" s="1"/>
  <c r="D46" i="2"/>
  <c r="D62" i="2" s="1"/>
  <c r="D75" i="2"/>
  <c r="C46" i="28"/>
  <c r="D46" i="28" s="1"/>
  <c r="E46" i="28" s="1"/>
  <c r="F46" i="28" s="1"/>
  <c r="O79" i="28" s="1"/>
  <c r="E27" i="28"/>
  <c r="P54" i="28"/>
  <c r="H67" i="5"/>
  <c r="G67" i="5"/>
  <c r="F67" i="5"/>
  <c r="E67" i="5"/>
  <c r="D67" i="5"/>
  <c r="H20" i="5"/>
  <c r="G20" i="5"/>
  <c r="F20" i="5"/>
  <c r="E20" i="5"/>
  <c r="D20" i="5"/>
  <c r="C35" i="28"/>
  <c r="D35" i="28" s="1"/>
  <c r="E35" i="28" s="1"/>
  <c r="F35" i="28" s="1"/>
  <c r="H79" i="28" s="1"/>
  <c r="F56" i="28"/>
  <c r="F57" i="28"/>
  <c r="F58" i="28"/>
  <c r="F59" i="28"/>
  <c r="F60" i="28"/>
  <c r="F61" i="28"/>
  <c r="F62" i="28"/>
  <c r="F63" i="28"/>
  <c r="F64" i="28"/>
  <c r="F65" i="28"/>
  <c r="F66" i="28"/>
  <c r="F67" i="28"/>
  <c r="F68" i="28"/>
  <c r="F69" i="28"/>
  <c r="F70" i="28"/>
  <c r="F71" i="28"/>
  <c r="F72" i="28"/>
  <c r="F73" i="28"/>
  <c r="F74" i="28"/>
  <c r="F75" i="28"/>
  <c r="F76" i="28"/>
  <c r="F77" i="28"/>
  <c r="F78" i="28"/>
  <c r="F80" i="28"/>
  <c r="F81" i="28"/>
  <c r="F82" i="28"/>
  <c r="F83" i="28"/>
  <c r="F55" i="28"/>
  <c r="H105" i="2"/>
  <c r="G105" i="2"/>
  <c r="F105" i="2"/>
  <c r="E105" i="2"/>
  <c r="D105" i="2"/>
  <c r="H7" i="1"/>
  <c r="G7" i="1"/>
  <c r="F7" i="1"/>
  <c r="E7" i="1"/>
  <c r="D7" i="1"/>
  <c r="H7" i="19"/>
  <c r="G7" i="19"/>
  <c r="F7" i="19"/>
  <c r="E7" i="19"/>
  <c r="D7" i="19"/>
  <c r="H7" i="11"/>
  <c r="G7" i="11"/>
  <c r="F7" i="11"/>
  <c r="E7" i="11"/>
  <c r="D7" i="11"/>
  <c r="I7" i="29"/>
  <c r="H7" i="29"/>
  <c r="G7" i="29"/>
  <c r="F7" i="29"/>
  <c r="I7" i="10"/>
  <c r="H7" i="10"/>
  <c r="G7" i="10"/>
  <c r="F7" i="10"/>
  <c r="E7" i="10"/>
  <c r="H7" i="27"/>
  <c r="G7" i="27"/>
  <c r="F7" i="27"/>
  <c r="E7" i="27"/>
  <c r="D7" i="27"/>
  <c r="H7" i="17"/>
  <c r="G7" i="17"/>
  <c r="F7" i="17"/>
  <c r="E7" i="17"/>
  <c r="D7" i="17"/>
  <c r="H7" i="5"/>
  <c r="G7" i="5"/>
  <c r="F7" i="5"/>
  <c r="E7" i="5"/>
  <c r="D7" i="5"/>
  <c r="H7" i="2"/>
  <c r="G7" i="2"/>
  <c r="F7" i="2"/>
  <c r="E7" i="2"/>
  <c r="I7" i="4"/>
  <c r="H7" i="4"/>
  <c r="F7" i="4"/>
  <c r="E7" i="4"/>
  <c r="E6" i="4"/>
  <c r="D6" i="1"/>
  <c r="D5" i="1" s="1"/>
  <c r="G7" i="4"/>
  <c r="E61" i="11"/>
  <c r="F61" i="11"/>
  <c r="G61" i="11"/>
  <c r="H61" i="11"/>
  <c r="A3" i="21"/>
  <c r="A3" i="1"/>
  <c r="A3" i="14"/>
  <c r="A3" i="2"/>
  <c r="A3" i="5"/>
  <c r="A3" i="17"/>
  <c r="A3" i="27"/>
  <c r="A3" i="10"/>
  <c r="A3" i="11"/>
  <c r="A3" i="19"/>
  <c r="A3" i="28"/>
  <c r="D47" i="5"/>
  <c r="D40" i="5"/>
  <c r="D89" i="28"/>
  <c r="E89" i="28" s="1"/>
  <c r="F89" i="28" s="1"/>
  <c r="G89" i="28" s="1"/>
  <c r="H89" i="28" s="1"/>
  <c r="I89" i="28" s="1"/>
  <c r="I54" i="28"/>
  <c r="A2" i="14"/>
  <c r="A2" i="1"/>
  <c r="A2" i="4"/>
  <c r="A2" i="2"/>
  <c r="A2" i="5"/>
  <c r="A2" i="17"/>
  <c r="A2" i="27"/>
  <c r="A2" i="10"/>
  <c r="A2" i="29"/>
  <c r="A2" i="11"/>
  <c r="A2" i="19"/>
  <c r="A2" i="21"/>
  <c r="A2" i="28"/>
  <c r="D23" i="11"/>
  <c r="E122" i="2"/>
  <c r="F122" i="2"/>
  <c r="G122" i="2"/>
  <c r="H122" i="2"/>
  <c r="D122" i="2"/>
  <c r="F184" i="28"/>
  <c r="F183" i="28"/>
  <c r="A3" i="13"/>
  <c r="D60" i="19"/>
  <c r="D62" i="19" s="1"/>
  <c r="E60" i="19"/>
  <c r="E62" i="19" s="1"/>
  <c r="F60" i="19"/>
  <c r="F62" i="19" s="1"/>
  <c r="G60" i="19"/>
  <c r="G62" i="19" s="1"/>
  <c r="H60" i="19"/>
  <c r="H62" i="19" s="1"/>
  <c r="D67" i="19"/>
  <c r="E67" i="19"/>
  <c r="F67" i="19"/>
  <c r="G67" i="19"/>
  <c r="H67" i="19"/>
  <c r="E46" i="11"/>
  <c r="E65" i="11" s="1"/>
  <c r="F46" i="11"/>
  <c r="F65" i="11" s="1"/>
  <c r="G46" i="11"/>
  <c r="G65" i="11" s="1"/>
  <c r="H46" i="11"/>
  <c r="H65" i="11" s="1"/>
  <c r="D46" i="11"/>
  <c r="D65" i="11" s="1"/>
  <c r="E34" i="11"/>
  <c r="F34" i="11"/>
  <c r="G34" i="11"/>
  <c r="H34" i="11"/>
  <c r="D34" i="11"/>
  <c r="E42" i="11"/>
  <c r="F42" i="11"/>
  <c r="G42" i="11"/>
  <c r="H42" i="11"/>
  <c r="D42" i="11"/>
  <c r="E40" i="5"/>
  <c r="F40" i="5"/>
  <c r="G40" i="5"/>
  <c r="H40" i="5"/>
  <c r="D117" i="2"/>
  <c r="E117" i="2"/>
  <c r="F117" i="2"/>
  <c r="G117" i="2"/>
  <c r="H117" i="2"/>
  <c r="J72" i="2"/>
  <c r="B47" i="1"/>
  <c r="D13" i="28"/>
  <c r="E13" i="28"/>
  <c r="F13" i="28"/>
  <c r="G13" i="28"/>
  <c r="H13" i="28"/>
  <c r="I13" i="28"/>
  <c r="J13" i="28"/>
  <c r="K13" i="28"/>
  <c r="L13" i="28"/>
  <c r="M13" i="28"/>
  <c r="N13" i="28"/>
  <c r="C13" i="28"/>
  <c r="C7" i="28"/>
  <c r="D52" i="19"/>
  <c r="D51" i="19"/>
  <c r="E52" i="19"/>
  <c r="F52" i="19" s="1"/>
  <c r="F51" i="19" s="1"/>
  <c r="D104" i="2"/>
  <c r="D103" i="2" s="1"/>
  <c r="F189" i="28"/>
  <c r="F188" i="28"/>
  <c r="F187" i="28"/>
  <c r="E216" i="28"/>
  <c r="F186" i="28" s="1"/>
  <c r="B216" i="28"/>
  <c r="F185" i="28" s="1"/>
  <c r="G128" i="28"/>
  <c r="B30" i="1"/>
  <c r="J48" i="17"/>
  <c r="D40" i="19"/>
  <c r="D39" i="19"/>
  <c r="H23" i="19"/>
  <c r="G23" i="19"/>
  <c r="F23" i="19"/>
  <c r="E23" i="19"/>
  <c r="D23" i="19"/>
  <c r="H16" i="11"/>
  <c r="G16" i="11"/>
  <c r="F16" i="11"/>
  <c r="E16" i="11"/>
  <c r="D16" i="11"/>
  <c r="I18" i="29"/>
  <c r="H18" i="29"/>
  <c r="G18" i="29"/>
  <c r="F18" i="29"/>
  <c r="E18" i="29"/>
  <c r="H53" i="27"/>
  <c r="G53" i="27"/>
  <c r="F53" i="27"/>
  <c r="E53" i="27"/>
  <c r="D53" i="27"/>
  <c r="I6" i="17"/>
  <c r="I5" i="17" s="1"/>
  <c r="I6" i="5"/>
  <c r="I5" i="5" s="1"/>
  <c r="J43" i="2"/>
  <c r="J14" i="2"/>
  <c r="I6" i="2"/>
  <c r="I5" i="2" s="1"/>
  <c r="I55" i="4"/>
  <c r="H55" i="4"/>
  <c r="G55" i="4"/>
  <c r="F55" i="4"/>
  <c r="E55" i="4"/>
  <c r="I36" i="4"/>
  <c r="H36" i="4"/>
  <c r="G36" i="4"/>
  <c r="F36" i="4"/>
  <c r="E36" i="4"/>
  <c r="B59" i="1"/>
  <c r="B56" i="1"/>
  <c r="B55" i="1"/>
  <c r="B40" i="1"/>
  <c r="B39" i="1"/>
  <c r="B32" i="1"/>
  <c r="B31" i="1"/>
  <c r="B29" i="1"/>
  <c r="B28" i="1"/>
  <c r="B13" i="1"/>
  <c r="B12" i="1"/>
  <c r="J6" i="1"/>
  <c r="G126" i="28"/>
  <c r="G125" i="28"/>
  <c r="G124" i="28"/>
  <c r="G123" i="28"/>
  <c r="F24" i="10"/>
  <c r="G17" i="10" s="1"/>
  <c r="D6" i="17"/>
  <c r="D5" i="17" s="1"/>
  <c r="D6" i="19"/>
  <c r="D6" i="2"/>
  <c r="D5" i="2" s="1"/>
  <c r="D6" i="11"/>
  <c r="D5" i="11" s="1"/>
  <c r="D6" i="27"/>
  <c r="D5" i="27" s="1"/>
  <c r="E6" i="10"/>
  <c r="E5" i="10" s="1"/>
  <c r="E27" i="10" s="1"/>
  <c r="D5" i="19"/>
  <c r="E6" i="19"/>
  <c r="E5" i="19" s="1"/>
  <c r="E6" i="27"/>
  <c r="F6" i="27" s="1"/>
  <c r="B21" i="1"/>
  <c r="F6" i="19"/>
  <c r="F5" i="19" s="1"/>
  <c r="F20" i="4"/>
  <c r="G20" i="4"/>
  <c r="H20" i="4"/>
  <c r="I20" i="4"/>
  <c r="H56" i="17" l="1"/>
  <c r="F56" i="17"/>
  <c r="E56" i="17"/>
  <c r="G56" i="17"/>
  <c r="J50" i="17"/>
  <c r="J51" i="17"/>
  <c r="J52" i="17"/>
  <c r="J54" i="17"/>
  <c r="J49" i="17"/>
  <c r="J53" i="17"/>
  <c r="D24" i="27"/>
  <c r="D43" i="27" s="1"/>
  <c r="H24" i="27"/>
  <c r="H43" i="27" s="1"/>
  <c r="H45" i="27" s="1"/>
  <c r="H49" i="27" s="1"/>
  <c r="G67" i="35"/>
  <c r="G25" i="35"/>
  <c r="G17" i="35"/>
  <c r="G66" i="35"/>
  <c r="G16" i="35"/>
  <c r="G91" i="35"/>
  <c r="G56" i="35"/>
  <c r="G19" i="35"/>
  <c r="G87" i="35"/>
  <c r="G65" i="35"/>
  <c r="G88" i="35"/>
  <c r="G26" i="35"/>
  <c r="G90" i="35"/>
  <c r="G18" i="35"/>
  <c r="G89" i="35"/>
  <c r="G20" i="35"/>
  <c r="C99" i="35"/>
  <c r="E191" i="28"/>
  <c r="J54" i="28"/>
  <c r="J73" i="28" s="1"/>
  <c r="I79" i="28"/>
  <c r="Q54" i="28"/>
  <c r="P79" i="28"/>
  <c r="C9" i="28"/>
  <c r="C30" i="2" s="1"/>
  <c r="I57" i="2"/>
  <c r="I59" i="2"/>
  <c r="I58" i="2"/>
  <c r="I28" i="2"/>
  <c r="I29" i="2"/>
  <c r="I30" i="2"/>
  <c r="E80" i="4"/>
  <c r="E92" i="4" s="1"/>
  <c r="E81" i="4"/>
  <c r="H71" i="4"/>
  <c r="H77" i="4"/>
  <c r="H81" i="4" s="1"/>
  <c r="I71" i="4"/>
  <c r="I80" i="4" s="1"/>
  <c r="I92" i="4" s="1"/>
  <c r="I77" i="4"/>
  <c r="I81" i="4" s="1"/>
  <c r="G71" i="4"/>
  <c r="G80" i="4" s="1"/>
  <c r="G92" i="4" s="1"/>
  <c r="G77" i="4"/>
  <c r="G81" i="4" s="1"/>
  <c r="F71" i="4"/>
  <c r="F77" i="4"/>
  <c r="F81" i="4" s="1"/>
  <c r="E5" i="27"/>
  <c r="E30" i="10"/>
  <c r="D26" i="28"/>
  <c r="D28" i="28"/>
  <c r="E21" i="29"/>
  <c r="F21" i="29"/>
  <c r="G21" i="29"/>
  <c r="H21" i="29"/>
  <c r="I21" i="29"/>
  <c r="E6" i="5"/>
  <c r="D5" i="5"/>
  <c r="D85" i="2"/>
  <c r="I85" i="2" s="1"/>
  <c r="D86" i="2"/>
  <c r="G85" i="2"/>
  <c r="G86" i="2"/>
  <c r="E86" i="2"/>
  <c r="E85" i="2"/>
  <c r="H86" i="2"/>
  <c r="H85" i="2"/>
  <c r="F85" i="2"/>
  <c r="F86" i="2"/>
  <c r="D61" i="2"/>
  <c r="I61" i="2" s="1"/>
  <c r="I62" i="2"/>
  <c r="G61" i="2"/>
  <c r="E61" i="2"/>
  <c r="H61" i="2"/>
  <c r="F61" i="2"/>
  <c r="F32" i="2"/>
  <c r="H32" i="2"/>
  <c r="D32" i="2"/>
  <c r="I32" i="2" s="1"/>
  <c r="I33" i="2"/>
  <c r="G32" i="2"/>
  <c r="E32" i="2"/>
  <c r="E28" i="28"/>
  <c r="E32" i="10" s="1"/>
  <c r="F6" i="4"/>
  <c r="G24" i="10"/>
  <c r="H123" i="2"/>
  <c r="H155" i="2" s="1"/>
  <c r="H189" i="2" s="1"/>
  <c r="F123" i="2"/>
  <c r="E123" i="2"/>
  <c r="D56" i="17"/>
  <c r="E4" i="29"/>
  <c r="G45" i="11"/>
  <c r="G64" i="11" s="1"/>
  <c r="D45" i="11"/>
  <c r="D64" i="11" s="1"/>
  <c r="F45" i="11"/>
  <c r="F64" i="11" s="1"/>
  <c r="E45" i="11"/>
  <c r="E64" i="11" s="1"/>
  <c r="H45" i="11"/>
  <c r="H64" i="11" s="1"/>
  <c r="B20" i="1"/>
  <c r="I81" i="2"/>
  <c r="I82" i="2"/>
  <c r="I83" i="2"/>
  <c r="I25" i="2"/>
  <c r="I54" i="2"/>
  <c r="I53" i="2"/>
  <c r="I52" i="2"/>
  <c r="I24" i="2"/>
  <c r="I23" i="2"/>
  <c r="D123" i="2"/>
  <c r="D155" i="2" s="1"/>
  <c r="D189" i="2" s="1"/>
  <c r="G123" i="2"/>
  <c r="F6" i="29"/>
  <c r="F5" i="29" s="1"/>
  <c r="F6" i="10"/>
  <c r="G6" i="10" s="1"/>
  <c r="H6" i="10" s="1"/>
  <c r="F5" i="27"/>
  <c r="G6" i="27"/>
  <c r="E6" i="17"/>
  <c r="E6" i="2"/>
  <c r="E6" i="11"/>
  <c r="E51" i="19"/>
  <c r="G6" i="19"/>
  <c r="E24" i="28"/>
  <c r="E65" i="4"/>
  <c r="E5" i="4"/>
  <c r="G52" i="19"/>
  <c r="F25" i="28"/>
  <c r="F6" i="5"/>
  <c r="E104" i="2"/>
  <c r="E103" i="2" s="1"/>
  <c r="E159" i="2" s="1"/>
  <c r="E6" i="1"/>
  <c r="F6" i="1" s="1"/>
  <c r="F5" i="1" s="1"/>
  <c r="G46" i="28"/>
  <c r="H46" i="28" s="1"/>
  <c r="O71" i="28"/>
  <c r="P83" i="28"/>
  <c r="Q77" i="28"/>
  <c r="O77" i="28"/>
  <c r="P69" i="28"/>
  <c r="O69" i="28"/>
  <c r="Q65" i="28"/>
  <c r="O81" i="28"/>
  <c r="Q75" i="28"/>
  <c r="O80" i="28"/>
  <c r="Q61" i="28"/>
  <c r="O74" i="28"/>
  <c r="O78" i="28"/>
  <c r="P70" i="28"/>
  <c r="P76" i="28"/>
  <c r="Q73" i="28"/>
  <c r="P82" i="28"/>
  <c r="Q68" i="28"/>
  <c r="Q83" i="28"/>
  <c r="O73" i="28"/>
  <c r="O83" i="28"/>
  <c r="Q63" i="28"/>
  <c r="Q71" i="28"/>
  <c r="P80" i="28"/>
  <c r="O76" i="28"/>
  <c r="Q81" i="28"/>
  <c r="Q78" i="28"/>
  <c r="O75" i="28"/>
  <c r="P81" i="28"/>
  <c r="Q55" i="28"/>
  <c r="Q69" i="28"/>
  <c r="P77" i="28"/>
  <c r="Q64" i="28"/>
  <c r="Q76" i="28"/>
  <c r="Q57" i="28"/>
  <c r="O72" i="28"/>
  <c r="O70" i="28"/>
  <c r="Q66" i="28"/>
  <c r="P75" i="28"/>
  <c r="Q56" i="28"/>
  <c r="Q74" i="28"/>
  <c r="P78" i="28"/>
  <c r="P74" i="28"/>
  <c r="Q62" i="28"/>
  <c r="Q82" i="28"/>
  <c r="Q58" i="28"/>
  <c r="P73" i="28"/>
  <c r="Q67" i="28"/>
  <c r="Q72" i="28"/>
  <c r="P72" i="28"/>
  <c r="O82" i="28"/>
  <c r="Q80" i="28"/>
  <c r="Q60" i="28"/>
  <c r="P71" i="28"/>
  <c r="Q59" i="28"/>
  <c r="Q70" i="28"/>
  <c r="H69" i="28"/>
  <c r="H78" i="28"/>
  <c r="H70" i="28"/>
  <c r="I80" i="28"/>
  <c r="I71" i="28"/>
  <c r="J82" i="28"/>
  <c r="H77" i="28"/>
  <c r="I78" i="28"/>
  <c r="I70" i="28"/>
  <c r="J81" i="28"/>
  <c r="G35" i="28"/>
  <c r="H35" i="28" s="1"/>
  <c r="I35" i="28" s="1"/>
  <c r="J35" i="28" s="1"/>
  <c r="H76" i="28"/>
  <c r="I77" i="28"/>
  <c r="J66" i="28"/>
  <c r="J71" i="28"/>
  <c r="H75" i="28"/>
  <c r="I76" i="28"/>
  <c r="J78" i="28"/>
  <c r="H73" i="28"/>
  <c r="J76" i="28"/>
  <c r="H83" i="28"/>
  <c r="H74" i="28"/>
  <c r="I69" i="28"/>
  <c r="I75" i="28"/>
  <c r="J77" i="28"/>
  <c r="H82" i="28"/>
  <c r="I83" i="28"/>
  <c r="H81" i="28"/>
  <c r="H72" i="28"/>
  <c r="I82" i="28"/>
  <c r="I73" i="28"/>
  <c r="J69" i="28"/>
  <c r="H80" i="28"/>
  <c r="H71" i="28"/>
  <c r="I81" i="28"/>
  <c r="I72" i="28"/>
  <c r="J61" i="28"/>
  <c r="J74" i="28"/>
  <c r="I74" i="28"/>
  <c r="J55" i="28"/>
  <c r="H63" i="17"/>
  <c r="H57" i="4"/>
  <c r="H59" i="4" s="1"/>
  <c r="F57" i="4"/>
  <c r="F59" i="4" s="1"/>
  <c r="I57" i="4"/>
  <c r="I59" i="4" s="1"/>
  <c r="G57" i="4"/>
  <c r="G59" i="4" s="1"/>
  <c r="E57" i="4"/>
  <c r="E59" i="4" s="1"/>
  <c r="B48" i="1"/>
  <c r="E123" i="28"/>
  <c r="F123" i="28" s="1"/>
  <c r="E127" i="28"/>
  <c r="F127" i="28" s="1"/>
  <c r="D63" i="17"/>
  <c r="G63" i="17"/>
  <c r="E126" i="28"/>
  <c r="F126" i="28" s="1"/>
  <c r="E190" i="28"/>
  <c r="E187" i="28"/>
  <c r="E63" i="17"/>
  <c r="F26" i="28"/>
  <c r="E158" i="2" s="1"/>
  <c r="I26" i="28"/>
  <c r="E184" i="28"/>
  <c r="B120" i="28"/>
  <c r="E26" i="28"/>
  <c r="H26" i="28"/>
  <c r="E183" i="28"/>
  <c r="K26" i="28"/>
  <c r="G26" i="28"/>
  <c r="E189" i="28"/>
  <c r="E129" i="28"/>
  <c r="F129" i="28" s="1"/>
  <c r="J26" i="28"/>
  <c r="E128" i="28"/>
  <c r="F128" i="28" s="1"/>
  <c r="E186" i="28"/>
  <c r="E188" i="28"/>
  <c r="E124" i="28"/>
  <c r="F124" i="28" s="1"/>
  <c r="E125" i="28"/>
  <c r="F125" i="28" s="1"/>
  <c r="E185" i="28"/>
  <c r="D66" i="27"/>
  <c r="G66" i="27"/>
  <c r="E66" i="27"/>
  <c r="F66" i="27"/>
  <c r="H66" i="27"/>
  <c r="F63" i="17"/>
  <c r="E24" i="27" l="1"/>
  <c r="E43" i="27" s="1"/>
  <c r="E45" i="27" s="1"/>
  <c r="E49" i="27" s="1"/>
  <c r="F48" i="27" s="1"/>
  <c r="G24" i="27"/>
  <c r="G43" i="27" s="1"/>
  <c r="G45" i="27" s="1"/>
  <c r="G49" i="27" s="1"/>
  <c r="H48" i="27" s="1"/>
  <c r="F24" i="27"/>
  <c r="F43" i="27" s="1"/>
  <c r="H17" i="10"/>
  <c r="H24" i="10" s="1"/>
  <c r="J47" i="17"/>
  <c r="G29" i="17"/>
  <c r="H97" i="4" s="1"/>
  <c r="D45" i="27"/>
  <c r="D49" i="27" s="1"/>
  <c r="E48" i="27" s="1"/>
  <c r="E55" i="27" s="1"/>
  <c r="H55" i="27"/>
  <c r="D158" i="2"/>
  <c r="D159" i="2" s="1"/>
  <c r="H98" i="35"/>
  <c r="H99" i="35" s="1"/>
  <c r="I98" i="35"/>
  <c r="I99" i="35" s="1"/>
  <c r="B186" i="28"/>
  <c r="B187" i="28"/>
  <c r="B188" i="28"/>
  <c r="B189" i="28"/>
  <c r="B190" i="28"/>
  <c r="B184" i="28"/>
  <c r="B185" i="28"/>
  <c r="B191" i="28"/>
  <c r="B66" i="5" s="1"/>
  <c r="J75" i="28"/>
  <c r="J60" i="28"/>
  <c r="J83" i="28"/>
  <c r="J62" i="28"/>
  <c r="J64" i="28"/>
  <c r="J57" i="28"/>
  <c r="J72" i="28"/>
  <c r="C83" i="1"/>
  <c r="C97" i="2"/>
  <c r="C81" i="1"/>
  <c r="J80" i="28"/>
  <c r="J59" i="28"/>
  <c r="J68" i="28"/>
  <c r="J56" i="28"/>
  <c r="J70" i="28"/>
  <c r="J58" i="28"/>
  <c r="J67" i="28"/>
  <c r="J65" i="28"/>
  <c r="J63" i="28"/>
  <c r="C62" i="27"/>
  <c r="D65" i="29"/>
  <c r="D67" i="29"/>
  <c r="C23" i="19"/>
  <c r="C71" i="17"/>
  <c r="C89" i="2"/>
  <c r="C62" i="5"/>
  <c r="C12" i="5"/>
  <c r="C15" i="2"/>
  <c r="D20" i="10"/>
  <c r="C98" i="2"/>
  <c r="C44" i="17"/>
  <c r="C19" i="2"/>
  <c r="C20" i="5"/>
  <c r="C77" i="2"/>
  <c r="C87" i="17"/>
  <c r="C14" i="5"/>
  <c r="C91" i="2"/>
  <c r="C87" i="1"/>
  <c r="C83" i="17"/>
  <c r="D43" i="10"/>
  <c r="C43" i="2"/>
  <c r="C16" i="5"/>
  <c r="C67" i="5"/>
  <c r="C67" i="2"/>
  <c r="C63" i="27"/>
  <c r="D62" i="29"/>
  <c r="D12" i="10"/>
  <c r="D68" i="29"/>
  <c r="C64" i="5"/>
  <c r="C80" i="1"/>
  <c r="C70" i="17"/>
  <c r="C82" i="1"/>
  <c r="C14" i="2"/>
  <c r="C85" i="1"/>
  <c r="D19" i="10"/>
  <c r="C38" i="2"/>
  <c r="D40" i="10"/>
  <c r="D41" i="10"/>
  <c r="D60" i="29"/>
  <c r="D39" i="10"/>
  <c r="D44" i="10"/>
  <c r="C52" i="5"/>
  <c r="C70" i="1"/>
  <c r="D38" i="29"/>
  <c r="C79" i="1"/>
  <c r="C75" i="1"/>
  <c r="C49" i="2"/>
  <c r="C73" i="2"/>
  <c r="C66" i="1"/>
  <c r="C21" i="19"/>
  <c r="D21" i="10"/>
  <c r="C84" i="1"/>
  <c r="C83" i="2"/>
  <c r="C44" i="2"/>
  <c r="C65" i="5"/>
  <c r="D45" i="10"/>
  <c r="C71" i="2"/>
  <c r="D18" i="10"/>
  <c r="C72" i="2"/>
  <c r="C64" i="27"/>
  <c r="C91" i="1"/>
  <c r="C20" i="2"/>
  <c r="C18" i="19"/>
  <c r="D23" i="10"/>
  <c r="C85" i="17"/>
  <c r="C52" i="2"/>
  <c r="C15" i="5"/>
  <c r="C66" i="5"/>
  <c r="C77" i="1"/>
  <c r="C69" i="1"/>
  <c r="C90" i="1"/>
  <c r="C54" i="2"/>
  <c r="C17" i="5"/>
  <c r="C77" i="17"/>
  <c r="C74" i="1"/>
  <c r="C57" i="17"/>
  <c r="C41" i="5"/>
  <c r="D58" i="29"/>
  <c r="C67" i="1"/>
  <c r="D22" i="10"/>
  <c r="C88" i="1"/>
  <c r="D24" i="10"/>
  <c r="C68" i="1"/>
  <c r="C78" i="2"/>
  <c r="C48" i="2"/>
  <c r="C42" i="2"/>
  <c r="C82" i="2"/>
  <c r="B63" i="1"/>
  <c r="C73" i="1"/>
  <c r="C65" i="1"/>
  <c r="C18" i="5"/>
  <c r="D17" i="10"/>
  <c r="D15" i="10"/>
  <c r="D54" i="29"/>
  <c r="C86" i="1"/>
  <c r="D50" i="29"/>
  <c r="C72" i="1"/>
  <c r="D16" i="10"/>
  <c r="C96" i="2"/>
  <c r="C63" i="5"/>
  <c r="C13" i="2"/>
  <c r="C78" i="1"/>
  <c r="C22" i="19"/>
  <c r="C71" i="1"/>
  <c r="C54" i="19"/>
  <c r="R54" i="28"/>
  <c r="Q79" i="28"/>
  <c r="K54" i="28"/>
  <c r="K77" i="28" s="1"/>
  <c r="J79" i="28"/>
  <c r="C53" i="2"/>
  <c r="C53" i="5"/>
  <c r="C37" i="2"/>
  <c r="C37" i="5"/>
  <c r="C65" i="2"/>
  <c r="C45" i="5"/>
  <c r="C25" i="2"/>
  <c r="C19" i="5"/>
  <c r="C38" i="5"/>
  <c r="C23" i="2"/>
  <c r="C81" i="2"/>
  <c r="C48" i="5"/>
  <c r="C66" i="2"/>
  <c r="C24" i="2"/>
  <c r="C39" i="5"/>
  <c r="C90" i="2"/>
  <c r="C36" i="2"/>
  <c r="C76" i="1"/>
  <c r="C54" i="5"/>
  <c r="C40" i="5"/>
  <c r="C58" i="2"/>
  <c r="C28" i="2"/>
  <c r="C29" i="2"/>
  <c r="C51" i="5"/>
  <c r="C46" i="5"/>
  <c r="C55" i="5"/>
  <c r="C59" i="2"/>
  <c r="C57" i="2"/>
  <c r="C44" i="5"/>
  <c r="C47" i="5"/>
  <c r="H78" i="4"/>
  <c r="E78" i="4"/>
  <c r="F78" i="4"/>
  <c r="I78" i="4"/>
  <c r="H80" i="4"/>
  <c r="H92" i="4" s="1"/>
  <c r="G78" i="4"/>
  <c r="F80" i="4"/>
  <c r="F92" i="4" s="1"/>
  <c r="J56" i="17"/>
  <c r="C6" i="28"/>
  <c r="E98" i="35"/>
  <c r="E99" i="35" s="1"/>
  <c r="D98" i="35"/>
  <c r="D99" i="35" s="1"/>
  <c r="F5" i="4"/>
  <c r="G6" i="4"/>
  <c r="G5" i="4" s="1"/>
  <c r="E76" i="1"/>
  <c r="D76" i="1"/>
  <c r="G6" i="1"/>
  <c r="E5" i="1"/>
  <c r="E5" i="5"/>
  <c r="E74" i="1"/>
  <c r="J86" i="2"/>
  <c r="J85" i="2"/>
  <c r="J33" i="2"/>
  <c r="J62" i="2"/>
  <c r="J61" i="2"/>
  <c r="J32" i="2"/>
  <c r="F28" i="28"/>
  <c r="F32" i="10" s="1"/>
  <c r="F27" i="28"/>
  <c r="G155" i="2"/>
  <c r="G189" i="2" s="1"/>
  <c r="F155" i="2"/>
  <c r="F189" i="2" s="1"/>
  <c r="E155" i="2"/>
  <c r="E189" i="2" s="1"/>
  <c r="G6" i="29"/>
  <c r="G5" i="29" s="1"/>
  <c r="F4" i="29"/>
  <c r="F5" i="10"/>
  <c r="F27" i="10" s="1"/>
  <c r="G5" i="10"/>
  <c r="G27" i="10" s="1"/>
  <c r="E5" i="2"/>
  <c r="F6" i="2"/>
  <c r="F158" i="2" s="1"/>
  <c r="E5" i="17"/>
  <c r="F6" i="17"/>
  <c r="G5" i="27"/>
  <c r="H6" i="27"/>
  <c r="H5" i="27" s="1"/>
  <c r="E5" i="11"/>
  <c r="F6" i="11"/>
  <c r="G6" i="5"/>
  <c r="G5" i="19"/>
  <c r="H6" i="19"/>
  <c r="H5" i="19" s="1"/>
  <c r="F104" i="2"/>
  <c r="F24" i="28"/>
  <c r="G25" i="28"/>
  <c r="F5" i="5"/>
  <c r="H52" i="19"/>
  <c r="H51" i="19" s="1"/>
  <c r="G51" i="19"/>
  <c r="H5" i="10"/>
  <c r="H27" i="10" s="1"/>
  <c r="I6" i="10"/>
  <c r="I46" i="28"/>
  <c r="J46" i="28" s="1"/>
  <c r="H6" i="1"/>
  <c r="H5" i="1" s="1"/>
  <c r="G5" i="1"/>
  <c r="K56" i="28"/>
  <c r="B125" i="28"/>
  <c r="B15" i="5" s="1"/>
  <c r="B69" i="1" s="1"/>
  <c r="B128" i="28"/>
  <c r="B18" i="5" s="1"/>
  <c r="B72" i="1" s="1"/>
  <c r="B126" i="28"/>
  <c r="B16" i="5" s="1"/>
  <c r="B70" i="1" s="1"/>
  <c r="B127" i="28"/>
  <c r="B17" i="5" s="1"/>
  <c r="B71" i="1" s="1"/>
  <c r="B129" i="28"/>
  <c r="B19" i="5" s="1"/>
  <c r="B73" i="1" s="1"/>
  <c r="B124" i="28"/>
  <c r="B14" i="5" s="1"/>
  <c r="B68" i="1" s="1"/>
  <c r="H15" i="4"/>
  <c r="H18" i="4" s="1"/>
  <c r="D75" i="1"/>
  <c r="D74" i="1"/>
  <c r="E15" i="4"/>
  <c r="E18" i="4" s="1"/>
  <c r="E20" i="4" s="1"/>
  <c r="B130" i="28"/>
  <c r="G15" i="4"/>
  <c r="G18" i="4" s="1"/>
  <c r="F36" i="29"/>
  <c r="F15" i="4"/>
  <c r="F18" i="4" s="1"/>
  <c r="E18" i="19"/>
  <c r="E42" i="17"/>
  <c r="E54" i="19"/>
  <c r="E82" i="1" s="1"/>
  <c r="I15" i="4"/>
  <c r="I18" i="4" s="1"/>
  <c r="F45" i="27" l="1"/>
  <c r="F49" i="27" s="1"/>
  <c r="G48" i="27" s="1"/>
  <c r="G55" i="27" s="1"/>
  <c r="D55" i="27"/>
  <c r="I17" i="10"/>
  <c r="I24" i="10" s="1"/>
  <c r="F105" i="4"/>
  <c r="E29" i="17"/>
  <c r="G31" i="17"/>
  <c r="G34" i="17" s="1"/>
  <c r="I105" i="4"/>
  <c r="H29" i="17"/>
  <c r="F29" i="17"/>
  <c r="E95" i="4"/>
  <c r="E105" i="4" s="1"/>
  <c r="D29" i="17"/>
  <c r="F55" i="27"/>
  <c r="K99" i="35"/>
  <c r="H6" i="4"/>
  <c r="H5" i="4" s="1"/>
  <c r="G65" i="4"/>
  <c r="K65" i="28"/>
  <c r="F37" i="10" s="1"/>
  <c r="F41" i="10" s="1"/>
  <c r="F40" i="10" s="1"/>
  <c r="K59" i="28"/>
  <c r="K82" i="28"/>
  <c r="K62" i="28"/>
  <c r="K58" i="28"/>
  <c r="K80" i="28"/>
  <c r="K55" i="28"/>
  <c r="K72" i="28"/>
  <c r="K63" i="28"/>
  <c r="K57" i="28"/>
  <c r="K67" i="28"/>
  <c r="K76" i="28"/>
  <c r="K74" i="28"/>
  <c r="K66" i="28"/>
  <c r="K70" i="28"/>
  <c r="K83" i="28"/>
  <c r="K61" i="28"/>
  <c r="K71" i="28"/>
  <c r="K73" i="28"/>
  <c r="K64" i="28"/>
  <c r="K75" i="28"/>
  <c r="K60" i="28"/>
  <c r="K81" i="28"/>
  <c r="K68" i="28"/>
  <c r="L54" i="28"/>
  <c r="K79" i="28"/>
  <c r="K78" i="28"/>
  <c r="K69" i="28"/>
  <c r="S54" i="28"/>
  <c r="R79" i="28"/>
  <c r="R61" i="28"/>
  <c r="R81" i="28"/>
  <c r="R59" i="28"/>
  <c r="R73" i="28"/>
  <c r="R72" i="28"/>
  <c r="R74" i="28"/>
  <c r="R56" i="28"/>
  <c r="R71" i="28"/>
  <c r="R60" i="28"/>
  <c r="R63" i="28"/>
  <c r="R69" i="28"/>
  <c r="R82" i="28"/>
  <c r="R58" i="28"/>
  <c r="R57" i="28"/>
  <c r="R62" i="28"/>
  <c r="R75" i="28"/>
  <c r="R78" i="28"/>
  <c r="R76" i="28"/>
  <c r="R83" i="28"/>
  <c r="R67" i="28"/>
  <c r="R66" i="28"/>
  <c r="R55" i="28"/>
  <c r="R80" i="28"/>
  <c r="R70" i="28"/>
  <c r="R68" i="28"/>
  <c r="R64" i="28"/>
  <c r="R77" i="28"/>
  <c r="R65" i="28"/>
  <c r="B63" i="5"/>
  <c r="B78" i="1" s="1"/>
  <c r="B62" i="5"/>
  <c r="B77" i="1" s="1"/>
  <c r="B81" i="1"/>
  <c r="B65" i="5"/>
  <c r="B80" i="1" s="1"/>
  <c r="B64" i="5"/>
  <c r="B79" i="1" s="1"/>
  <c r="F76" i="1"/>
  <c r="I6" i="4"/>
  <c r="I5" i="4" s="1"/>
  <c r="H65" i="4"/>
  <c r="B19" i="1"/>
  <c r="B46" i="1"/>
  <c r="G28" i="28"/>
  <c r="G27" i="28"/>
  <c r="H105" i="4"/>
  <c r="F93" i="4"/>
  <c r="I5" i="10"/>
  <c r="I27" i="10" s="1"/>
  <c r="G5" i="5"/>
  <c r="E37" i="10"/>
  <c r="E41" i="10" s="1"/>
  <c r="G4" i="29"/>
  <c r="H6" i="29"/>
  <c r="H5" i="29" s="1"/>
  <c r="G36" i="29"/>
  <c r="F5" i="2"/>
  <c r="G6" i="2"/>
  <c r="G158" i="2" s="1"/>
  <c r="F5" i="17"/>
  <c r="G6" i="17"/>
  <c r="J71" i="1"/>
  <c r="F5" i="11"/>
  <c r="G6" i="11"/>
  <c r="J72" i="1"/>
  <c r="H6" i="5"/>
  <c r="G104" i="2"/>
  <c r="F103" i="2"/>
  <c r="F159" i="2" s="1"/>
  <c r="F74" i="1"/>
  <c r="E191" i="2"/>
  <c r="G24" i="28"/>
  <c r="H25" i="28"/>
  <c r="F18" i="19"/>
  <c r="F42" i="17"/>
  <c r="F57" i="17" s="1"/>
  <c r="F54" i="19"/>
  <c r="F82" i="1" s="1"/>
  <c r="B42" i="1"/>
  <c r="B16" i="1"/>
  <c r="E57" i="17"/>
  <c r="H31" i="17" l="1"/>
  <c r="H34" i="17" s="1"/>
  <c r="F97" i="4"/>
  <c r="E31" i="17"/>
  <c r="F31" i="17"/>
  <c r="F34" i="17" s="1"/>
  <c r="G97" i="4"/>
  <c r="G105" i="4"/>
  <c r="I97" i="4"/>
  <c r="E97" i="4"/>
  <c r="D31" i="17"/>
  <c r="D34" i="17" s="1"/>
  <c r="G32" i="10"/>
  <c r="T54" i="28"/>
  <c r="S79" i="28"/>
  <c r="S75" i="28"/>
  <c r="S71" i="28"/>
  <c r="S62" i="28"/>
  <c r="S67" i="28"/>
  <c r="S78" i="28"/>
  <c r="S69" i="28"/>
  <c r="S55" i="28"/>
  <c r="S80" i="28"/>
  <c r="S57" i="28"/>
  <c r="S83" i="28"/>
  <c r="S64" i="28"/>
  <c r="S72" i="28"/>
  <c r="S76" i="28"/>
  <c r="S77" i="28"/>
  <c r="S70" i="28"/>
  <c r="S61" i="28"/>
  <c r="S66" i="28"/>
  <c r="S59" i="28"/>
  <c r="S68" i="28"/>
  <c r="S82" i="28"/>
  <c r="S63" i="28"/>
  <c r="S58" i="28"/>
  <c r="S81" i="28"/>
  <c r="S74" i="28"/>
  <c r="S65" i="28"/>
  <c r="G37" i="10" s="1"/>
  <c r="G41" i="10" s="1"/>
  <c r="G39" i="10" s="1"/>
  <c r="G43" i="10" s="1"/>
  <c r="S73" i="28"/>
  <c r="S60" i="28"/>
  <c r="S56" i="28"/>
  <c r="M54" i="28"/>
  <c r="L79" i="28"/>
  <c r="L73" i="28"/>
  <c r="L59" i="28"/>
  <c r="L77" i="28"/>
  <c r="L61" i="28"/>
  <c r="L75" i="28"/>
  <c r="L57" i="28"/>
  <c r="L80" i="28"/>
  <c r="L58" i="28"/>
  <c r="L71" i="28"/>
  <c r="L72" i="28"/>
  <c r="L66" i="28"/>
  <c r="L63" i="28"/>
  <c r="L70" i="28"/>
  <c r="L83" i="28"/>
  <c r="L62" i="28"/>
  <c r="L76" i="28"/>
  <c r="L69" i="28"/>
  <c r="L78" i="28"/>
  <c r="L67" i="28"/>
  <c r="L56" i="28"/>
  <c r="L82" i="28"/>
  <c r="L65" i="28"/>
  <c r="L55" i="28"/>
  <c r="L60" i="28"/>
  <c r="L68" i="28"/>
  <c r="L81" i="28"/>
  <c r="L74" i="28"/>
  <c r="L64" i="28"/>
  <c r="B26" i="1"/>
  <c r="B53" i="1"/>
  <c r="B23" i="1"/>
  <c r="B50" i="1"/>
  <c r="B24" i="1"/>
  <c r="B51" i="1"/>
  <c r="B27" i="1"/>
  <c r="B54" i="1"/>
  <c r="B52" i="1"/>
  <c r="B25" i="1"/>
  <c r="I65" i="4"/>
  <c r="G76" i="1"/>
  <c r="H28" i="28"/>
  <c r="H32" i="10" s="1"/>
  <c r="H27" i="28"/>
  <c r="G40" i="17" s="1"/>
  <c r="G93" i="4"/>
  <c r="I6" i="29"/>
  <c r="I5" i="29" s="1"/>
  <c r="H4" i="29"/>
  <c r="H5" i="5"/>
  <c r="E40" i="10"/>
  <c r="D90" i="1" s="1"/>
  <c r="E39" i="10"/>
  <c r="E43" i="10" s="1"/>
  <c r="D58" i="27"/>
  <c r="F39" i="10"/>
  <c r="F43" i="10" s="1"/>
  <c r="G18" i="19"/>
  <c r="H6" i="17"/>
  <c r="G5" i="17"/>
  <c r="I54" i="17"/>
  <c r="G74" i="1"/>
  <c r="G5" i="2"/>
  <c r="H6" i="2"/>
  <c r="H6" i="11"/>
  <c r="H5" i="11" s="1"/>
  <c r="G5" i="11"/>
  <c r="I56" i="17"/>
  <c r="D56" i="27"/>
  <c r="G103" i="2"/>
  <c r="G159" i="2" s="1"/>
  <c r="H104" i="2"/>
  <c r="H36" i="29"/>
  <c r="F191" i="2"/>
  <c r="I25" i="28"/>
  <c r="G42" i="17"/>
  <c r="G57" i="17" s="1"/>
  <c r="H24" i="28"/>
  <c r="G54" i="19"/>
  <c r="G82" i="1" s="1"/>
  <c r="F44" i="10"/>
  <c r="E90" i="1"/>
  <c r="B43" i="1"/>
  <c r="B15" i="1"/>
  <c r="J69" i="1"/>
  <c r="J81" i="1"/>
  <c r="J78" i="1"/>
  <c r="F31" i="29"/>
  <c r="F34" i="29" s="1"/>
  <c r="F38" i="29" s="1"/>
  <c r="B44" i="1"/>
  <c r="B17" i="1"/>
  <c r="B45" i="1"/>
  <c r="B18" i="1"/>
  <c r="J74" i="1"/>
  <c r="K75" i="1"/>
  <c r="J75" i="1"/>
  <c r="E58" i="27"/>
  <c r="E56" i="27"/>
  <c r="B41" i="1"/>
  <c r="B14" i="1"/>
  <c r="J70" i="1"/>
  <c r="J73" i="1"/>
  <c r="J25" i="1" l="1"/>
  <c r="J26" i="1"/>
  <c r="J27" i="1"/>
  <c r="J23" i="1"/>
  <c r="J24" i="1"/>
  <c r="J19" i="1"/>
  <c r="J18" i="1"/>
  <c r="J21" i="1"/>
  <c r="J20" i="1"/>
  <c r="J22" i="1"/>
  <c r="I72" i="2"/>
  <c r="H158" i="2"/>
  <c r="G56" i="27"/>
  <c r="D63" i="27"/>
  <c r="D62" i="27"/>
  <c r="D65" i="27" s="1"/>
  <c r="E34" i="17"/>
  <c r="E40" i="17"/>
  <c r="F40" i="17"/>
  <c r="F56" i="27"/>
  <c r="F58" i="27"/>
  <c r="F60" i="27" s="1"/>
  <c r="G40" i="10"/>
  <c r="G44" i="10" s="1"/>
  <c r="N54" i="28"/>
  <c r="M63" i="28"/>
  <c r="M64" i="28"/>
  <c r="M56" i="28"/>
  <c r="M68" i="28"/>
  <c r="M55" i="28"/>
  <c r="M62" i="28"/>
  <c r="M57" i="28"/>
  <c r="M67" i="28"/>
  <c r="M58" i="28"/>
  <c r="M61" i="28"/>
  <c r="M65" i="28"/>
  <c r="M60" i="28"/>
  <c r="M59" i="28"/>
  <c r="M66" i="28"/>
  <c r="U54" i="28"/>
  <c r="T55" i="28"/>
  <c r="T63" i="28"/>
  <c r="T66" i="28"/>
  <c r="T59" i="28"/>
  <c r="T58" i="28"/>
  <c r="T60" i="28"/>
  <c r="T68" i="28"/>
  <c r="T56" i="28"/>
  <c r="T62" i="28"/>
  <c r="T65" i="28"/>
  <c r="H37" i="10" s="1"/>
  <c r="H41" i="10" s="1"/>
  <c r="H39" i="10" s="1"/>
  <c r="H43" i="10" s="1"/>
  <c r="T61" i="28"/>
  <c r="T57" i="28"/>
  <c r="T64" i="28"/>
  <c r="T67" i="28"/>
  <c r="D27" i="1"/>
  <c r="D22" i="1"/>
  <c r="E14" i="1"/>
  <c r="E27" i="1"/>
  <c r="J17" i="1"/>
  <c r="H76" i="1"/>
  <c r="I28" i="28"/>
  <c r="I32" i="10" s="1"/>
  <c r="I27" i="28"/>
  <c r="F103" i="4"/>
  <c r="H93" i="4"/>
  <c r="D26" i="1"/>
  <c r="D16" i="1"/>
  <c r="D17" i="1"/>
  <c r="D21" i="1"/>
  <c r="D23" i="1"/>
  <c r="D15" i="1"/>
  <c r="D19" i="1"/>
  <c r="J15" i="1"/>
  <c r="D18" i="1"/>
  <c r="D20" i="1"/>
  <c r="H42" i="17"/>
  <c r="H57" i="17" s="1"/>
  <c r="I4" i="29"/>
  <c r="J16" i="1"/>
  <c r="K78" i="1"/>
  <c r="E44" i="10"/>
  <c r="D65" i="1" s="1"/>
  <c r="D11" i="1" s="1"/>
  <c r="I36" i="29"/>
  <c r="E20" i="1"/>
  <c r="H5" i="2"/>
  <c r="I43" i="2"/>
  <c r="I14" i="2"/>
  <c r="H5" i="17"/>
  <c r="I50" i="17"/>
  <c r="I48" i="17"/>
  <c r="I49" i="17"/>
  <c r="I47" i="17"/>
  <c r="I51" i="17"/>
  <c r="I52" i="17"/>
  <c r="I53" i="17"/>
  <c r="H103" i="2"/>
  <c r="H159" i="2" s="1"/>
  <c r="G191" i="2"/>
  <c r="G66" i="17"/>
  <c r="G44" i="17"/>
  <c r="I24" i="28"/>
  <c r="H40" i="17"/>
  <c r="J25" i="28"/>
  <c r="H18" i="19"/>
  <c r="H54" i="19"/>
  <c r="H82" i="1" s="1"/>
  <c r="H74" i="1"/>
  <c r="E22" i="1"/>
  <c r="E13" i="1"/>
  <c r="E25" i="1"/>
  <c r="E24" i="1"/>
  <c r="E21" i="1"/>
  <c r="E16" i="1"/>
  <c r="E23" i="1"/>
  <c r="E26" i="1"/>
  <c r="E17" i="1"/>
  <c r="E28" i="1"/>
  <c r="E18" i="1"/>
  <c r="E19" i="1"/>
  <c r="E65" i="1"/>
  <c r="E11" i="1" s="1"/>
  <c r="F45" i="10"/>
  <c r="D25" i="1"/>
  <c r="E31" i="29"/>
  <c r="E34" i="29" s="1"/>
  <c r="J79" i="1"/>
  <c r="D24" i="1"/>
  <c r="J80" i="1"/>
  <c r="E60" i="27"/>
  <c r="E62" i="27"/>
  <c r="E65" i="27" s="1"/>
  <c r="E63" i="27"/>
  <c r="E91" i="1" s="1"/>
  <c r="D60" i="27"/>
  <c r="D91" i="1"/>
  <c r="J50" i="1" l="1"/>
  <c r="J51" i="1"/>
  <c r="J53" i="1"/>
  <c r="J52" i="1"/>
  <c r="J54" i="1"/>
  <c r="J49" i="1"/>
  <c r="G58" i="27"/>
  <c r="F66" i="17"/>
  <c r="F44" i="17"/>
  <c r="F83" i="17" s="1"/>
  <c r="G64" i="29" s="1"/>
  <c r="G65" i="29" s="1"/>
  <c r="E66" i="17"/>
  <c r="E44" i="17"/>
  <c r="E83" i="17" s="1"/>
  <c r="F64" i="29" s="1"/>
  <c r="F65" i="29" s="1"/>
  <c r="F62" i="27"/>
  <c r="F65" i="27" s="1"/>
  <c r="F67" i="27" s="1"/>
  <c r="F90" i="1"/>
  <c r="F17" i="1" s="1"/>
  <c r="F63" i="27"/>
  <c r="F91" i="1" s="1"/>
  <c r="F50" i="1" s="1"/>
  <c r="G83" i="17"/>
  <c r="H64" i="29" s="1"/>
  <c r="H65" i="29" s="1"/>
  <c r="H40" i="10"/>
  <c r="G90" i="1" s="1"/>
  <c r="G27" i="1" s="1"/>
  <c r="U63" i="28"/>
  <c r="U57" i="28"/>
  <c r="U66" i="28"/>
  <c r="U67" i="28"/>
  <c r="U68" i="28"/>
  <c r="U64" i="28"/>
  <c r="U61" i="28"/>
  <c r="U59" i="28"/>
  <c r="U55" i="28"/>
  <c r="U62" i="28"/>
  <c r="U56" i="28"/>
  <c r="U65" i="28"/>
  <c r="U60" i="28"/>
  <c r="U58" i="28"/>
  <c r="N56" i="28"/>
  <c r="N65" i="28"/>
  <c r="N66" i="28"/>
  <c r="N67" i="28"/>
  <c r="N68" i="28"/>
  <c r="N57" i="28"/>
  <c r="N64" i="28"/>
  <c r="N55" i="28"/>
  <c r="N60" i="28"/>
  <c r="N62" i="28"/>
  <c r="N63" i="28"/>
  <c r="N59" i="28"/>
  <c r="N61" i="28"/>
  <c r="N58" i="28"/>
  <c r="D53" i="1"/>
  <c r="D50" i="1"/>
  <c r="D54" i="1"/>
  <c r="E54" i="1"/>
  <c r="E53" i="1"/>
  <c r="D54" i="19"/>
  <c r="D82" i="1" s="1"/>
  <c r="J55" i="1" s="1"/>
  <c r="J28" i="28"/>
  <c r="J27" i="28"/>
  <c r="F58" i="29"/>
  <c r="F46" i="29"/>
  <c r="I93" i="4"/>
  <c r="E103" i="4"/>
  <c r="J11" i="1"/>
  <c r="J65" i="1"/>
  <c r="E45" i="10"/>
  <c r="H31" i="29"/>
  <c r="H34" i="29" s="1"/>
  <c r="H38" i="29" s="1"/>
  <c r="F44" i="1"/>
  <c r="J24" i="28"/>
  <c r="K25" i="28"/>
  <c r="H66" i="17"/>
  <c r="H44" i="17"/>
  <c r="H191" i="2"/>
  <c r="H58" i="27"/>
  <c r="H56" i="27"/>
  <c r="G31" i="29"/>
  <c r="G34" i="29" s="1"/>
  <c r="G38" i="29" s="1"/>
  <c r="F65" i="1"/>
  <c r="G45" i="10"/>
  <c r="J77" i="1"/>
  <c r="D13" i="1"/>
  <c r="J13" i="1"/>
  <c r="J67" i="1"/>
  <c r="J68" i="1"/>
  <c r="D14" i="1"/>
  <c r="J14" i="1"/>
  <c r="E15" i="1"/>
  <c r="K69" i="1"/>
  <c r="E51" i="1"/>
  <c r="E49" i="1"/>
  <c r="E50" i="1"/>
  <c r="E42" i="1"/>
  <c r="E52" i="1"/>
  <c r="E48" i="1"/>
  <c r="E43" i="1"/>
  <c r="E46" i="1"/>
  <c r="E44" i="1"/>
  <c r="E45" i="1"/>
  <c r="E40" i="1"/>
  <c r="E38" i="1"/>
  <c r="E55" i="1"/>
  <c r="E41" i="1"/>
  <c r="E47" i="1"/>
  <c r="E64" i="17"/>
  <c r="E67" i="27"/>
  <c r="D52" i="1"/>
  <c r="D51" i="1"/>
  <c r="D45" i="1"/>
  <c r="J45" i="1"/>
  <c r="D49" i="1"/>
  <c r="J44" i="1"/>
  <c r="D44" i="1"/>
  <c r="D42" i="1"/>
  <c r="J42" i="1"/>
  <c r="D41" i="1"/>
  <c r="J41" i="1"/>
  <c r="D38" i="1"/>
  <c r="J48" i="1"/>
  <c r="D43" i="1"/>
  <c r="D46" i="1"/>
  <c r="D47" i="1"/>
  <c r="J38" i="1"/>
  <c r="J43" i="1"/>
  <c r="J40" i="1"/>
  <c r="J47" i="1"/>
  <c r="D48" i="1"/>
  <c r="J46" i="1"/>
  <c r="D40" i="1"/>
  <c r="D64" i="17"/>
  <c r="D67" i="27"/>
  <c r="G60" i="27" l="1"/>
  <c r="F20" i="1"/>
  <c r="F27" i="1"/>
  <c r="F24" i="1"/>
  <c r="F16" i="1"/>
  <c r="F26" i="1"/>
  <c r="F13" i="1"/>
  <c r="G63" i="27"/>
  <c r="G91" i="1" s="1"/>
  <c r="G42" i="1" s="1"/>
  <c r="F25" i="1"/>
  <c r="F64" i="17"/>
  <c r="F67" i="17" s="1"/>
  <c r="F68" i="17" s="1"/>
  <c r="F70" i="17" s="1"/>
  <c r="G62" i="27"/>
  <c r="G65" i="27" s="1"/>
  <c r="G64" i="17" s="1"/>
  <c r="G71" i="17" s="1"/>
  <c r="F45" i="1"/>
  <c r="F19" i="1"/>
  <c r="F41" i="1"/>
  <c r="F47" i="1"/>
  <c r="F42" i="1"/>
  <c r="F18" i="1"/>
  <c r="F21" i="1"/>
  <c r="F15" i="1"/>
  <c r="F55" i="1"/>
  <c r="F46" i="1"/>
  <c r="F43" i="1"/>
  <c r="F53" i="1"/>
  <c r="F14" i="1"/>
  <c r="F23" i="1"/>
  <c r="F28" i="1"/>
  <c r="F48" i="1"/>
  <c r="F40" i="1"/>
  <c r="F54" i="1"/>
  <c r="G15" i="1"/>
  <c r="G26" i="1"/>
  <c r="G22" i="1"/>
  <c r="G28" i="1"/>
  <c r="G21" i="1"/>
  <c r="G20" i="1"/>
  <c r="G25" i="1"/>
  <c r="G24" i="1"/>
  <c r="G23" i="1"/>
  <c r="H44" i="10"/>
  <c r="G65" i="1" s="1"/>
  <c r="G11" i="1" s="1"/>
  <c r="I37" i="10"/>
  <c r="I41" i="10" s="1"/>
  <c r="D42" i="17"/>
  <c r="D57" i="17" s="1"/>
  <c r="J57" i="17" s="1"/>
  <c r="K82" i="1"/>
  <c r="D55" i="1"/>
  <c r="D18" i="19"/>
  <c r="J82" i="1"/>
  <c r="D28" i="1"/>
  <c r="J28" i="1"/>
  <c r="D40" i="17"/>
  <c r="E36" i="29"/>
  <c r="E38" i="29" s="1"/>
  <c r="E58" i="29" s="1"/>
  <c r="I31" i="29"/>
  <c r="I34" i="29" s="1"/>
  <c r="I38" i="29" s="1"/>
  <c r="K28" i="28"/>
  <c r="K27" i="28"/>
  <c r="G103" i="4"/>
  <c r="H103" i="4"/>
  <c r="K81" i="1"/>
  <c r="K24" i="28"/>
  <c r="K80" i="1"/>
  <c r="F52" i="1"/>
  <c r="H60" i="27"/>
  <c r="F51" i="1"/>
  <c r="K79" i="1"/>
  <c r="F11" i="1"/>
  <c r="F38" i="1"/>
  <c r="K73" i="1"/>
  <c r="G19" i="1"/>
  <c r="G18" i="1"/>
  <c r="K72" i="1"/>
  <c r="G16" i="1"/>
  <c r="K70" i="1"/>
  <c r="G17" i="1"/>
  <c r="K71" i="1"/>
  <c r="E67" i="17"/>
  <c r="E68" i="17" s="1"/>
  <c r="E70" i="17" s="1"/>
  <c r="E71" i="17"/>
  <c r="G45" i="1" l="1"/>
  <c r="G47" i="1"/>
  <c r="G54" i="1"/>
  <c r="G44" i="1"/>
  <c r="G50" i="1"/>
  <c r="G55" i="1"/>
  <c r="G53" i="1"/>
  <c r="G43" i="1"/>
  <c r="G48" i="1"/>
  <c r="G46" i="1"/>
  <c r="G51" i="1"/>
  <c r="G67" i="17"/>
  <c r="G68" i="17" s="1"/>
  <c r="G70" i="17" s="1"/>
  <c r="G85" i="17" s="1"/>
  <c r="H66" i="29" s="1"/>
  <c r="H67" i="29" s="1"/>
  <c r="H68" i="29" s="1"/>
  <c r="F71" i="17"/>
  <c r="F85" i="17" s="1"/>
  <c r="G66" i="29" s="1"/>
  <c r="G52" i="1"/>
  <c r="G49" i="1"/>
  <c r="G67" i="27"/>
  <c r="G40" i="1"/>
  <c r="D71" i="17"/>
  <c r="I71" i="17" s="1"/>
  <c r="G38" i="1"/>
  <c r="H45" i="10"/>
  <c r="I57" i="17"/>
  <c r="I40" i="10"/>
  <c r="I39" i="10"/>
  <c r="I43" i="10" s="1"/>
  <c r="D66" i="17"/>
  <c r="D67" i="17" s="1"/>
  <c r="D68" i="17" s="1"/>
  <c r="D70" i="17" s="1"/>
  <c r="D44" i="17"/>
  <c r="D83" i="17" s="1"/>
  <c r="E64" i="29" s="1"/>
  <c r="K67" i="1"/>
  <c r="G13" i="1"/>
  <c r="G58" i="29"/>
  <c r="H58" i="29"/>
  <c r="I103" i="4"/>
  <c r="E85" i="17"/>
  <c r="F66" i="29" s="1"/>
  <c r="H46" i="29"/>
  <c r="G46" i="29"/>
  <c r="K74" i="1"/>
  <c r="F49" i="1"/>
  <c r="F22" i="1"/>
  <c r="K77" i="1"/>
  <c r="G14" i="1"/>
  <c r="G41" i="1"/>
  <c r="K68" i="1"/>
  <c r="G87" i="17" l="1"/>
  <c r="G85" i="1" s="1"/>
  <c r="H47" i="29"/>
  <c r="H48" i="29" s="1"/>
  <c r="H50" i="29" s="1"/>
  <c r="H60" i="29" s="1"/>
  <c r="G86" i="1" s="1"/>
  <c r="G31" i="1" s="1"/>
  <c r="D85" i="17"/>
  <c r="E66" i="29" s="1"/>
  <c r="E67" i="29" s="1"/>
  <c r="D84" i="1" s="1"/>
  <c r="I70" i="17"/>
  <c r="H83" i="17"/>
  <c r="I64" i="29" s="1"/>
  <c r="I65" i="29" s="1"/>
  <c r="H62" i="27"/>
  <c r="H65" i="27" s="1"/>
  <c r="H63" i="27"/>
  <c r="H91" i="1" s="1"/>
  <c r="H90" i="1"/>
  <c r="I44" i="10"/>
  <c r="H65" i="1" s="1"/>
  <c r="G84" i="1"/>
  <c r="G30" i="1" s="1"/>
  <c r="I44" i="17"/>
  <c r="J44" i="17"/>
  <c r="F47" i="29"/>
  <c r="F48" i="29" s="1"/>
  <c r="F50" i="29" s="1"/>
  <c r="F60" i="29" s="1"/>
  <c r="F67" i="29"/>
  <c r="F68" i="29" s="1"/>
  <c r="G67" i="29"/>
  <c r="G68" i="29" s="1"/>
  <c r="G47" i="29"/>
  <c r="G48" i="29" s="1"/>
  <c r="G50" i="29" s="1"/>
  <c r="G60" i="29" s="1"/>
  <c r="I46" i="29"/>
  <c r="I58" i="29"/>
  <c r="F87" i="17"/>
  <c r="E87" i="17"/>
  <c r="K20" i="1" l="1"/>
  <c r="K22" i="1"/>
  <c r="K23" i="1"/>
  <c r="K21" i="1"/>
  <c r="K18" i="1"/>
  <c r="K19" i="1"/>
  <c r="K25" i="1"/>
  <c r="K27" i="1"/>
  <c r="K26" i="1"/>
  <c r="K24" i="1"/>
  <c r="K49" i="1"/>
  <c r="K50" i="1"/>
  <c r="K53" i="1"/>
  <c r="K54" i="1"/>
  <c r="K52" i="1"/>
  <c r="K51" i="1"/>
  <c r="I85" i="17"/>
  <c r="D87" i="17"/>
  <c r="I87" i="17" s="1"/>
  <c r="H11" i="1"/>
  <c r="K11" i="1"/>
  <c r="K65" i="1"/>
  <c r="H38" i="1"/>
  <c r="K38" i="1"/>
  <c r="H44" i="1"/>
  <c r="K55" i="1"/>
  <c r="H41" i="1"/>
  <c r="H45" i="1"/>
  <c r="H55" i="1"/>
  <c r="H42" i="1"/>
  <c r="K40" i="1"/>
  <c r="K45" i="1"/>
  <c r="H46" i="1"/>
  <c r="K41" i="1"/>
  <c r="K42" i="1"/>
  <c r="K48" i="1"/>
  <c r="H47" i="1"/>
  <c r="K47" i="1"/>
  <c r="H49" i="1"/>
  <c r="H48" i="1"/>
  <c r="H53" i="1"/>
  <c r="H40" i="1"/>
  <c r="K44" i="1"/>
  <c r="H54" i="1"/>
  <c r="H52" i="1"/>
  <c r="H51" i="1"/>
  <c r="K46" i="1"/>
  <c r="H43" i="1"/>
  <c r="K43" i="1"/>
  <c r="H50" i="1"/>
  <c r="H27" i="1"/>
  <c r="H16" i="1"/>
  <c r="H15" i="1"/>
  <c r="H26" i="1"/>
  <c r="H24" i="1"/>
  <c r="H18" i="1"/>
  <c r="H21" i="1"/>
  <c r="H25" i="1"/>
  <c r="H17" i="1"/>
  <c r="H13" i="1"/>
  <c r="K15" i="1"/>
  <c r="H19" i="1"/>
  <c r="H22" i="1"/>
  <c r="H28" i="1"/>
  <c r="H23" i="1"/>
  <c r="K17" i="1"/>
  <c r="K28" i="1"/>
  <c r="K16" i="1"/>
  <c r="H14" i="1"/>
  <c r="K14" i="1"/>
  <c r="H20" i="1"/>
  <c r="K13" i="1"/>
  <c r="H67" i="27"/>
  <c r="H64" i="17"/>
  <c r="I45" i="10"/>
  <c r="G57" i="1"/>
  <c r="F84" i="1"/>
  <c r="F30" i="1" s="1"/>
  <c r="F85" i="1"/>
  <c r="I83" i="17"/>
  <c r="J83" i="17"/>
  <c r="E85" i="1"/>
  <c r="F86" i="1"/>
  <c r="F31" i="1" s="1"/>
  <c r="G62" i="29"/>
  <c r="F87" i="1" s="1"/>
  <c r="H62" i="29"/>
  <c r="G87" i="1" s="1"/>
  <c r="G58" i="1" s="1"/>
  <c r="E86" i="1"/>
  <c r="E31" i="1" s="1"/>
  <c r="F62" i="29"/>
  <c r="E87" i="1" s="1"/>
  <c r="E84" i="1"/>
  <c r="E30" i="1" s="1"/>
  <c r="D30" i="1"/>
  <c r="J84" i="1"/>
  <c r="J30" i="1"/>
  <c r="H71" i="17" l="1"/>
  <c r="J71" i="17" s="1"/>
  <c r="H67" i="17"/>
  <c r="H68" i="17" s="1"/>
  <c r="H70" i="17" s="1"/>
  <c r="J70" i="17" s="1"/>
  <c r="F57" i="1"/>
  <c r="F58" i="1"/>
  <c r="E58" i="1"/>
  <c r="E65" i="29"/>
  <c r="E68" i="29" s="1"/>
  <c r="D85" i="1" s="1"/>
  <c r="D57" i="1" s="1"/>
  <c r="E47" i="29"/>
  <c r="E57" i="1"/>
  <c r="J57" i="1" l="1"/>
  <c r="H85" i="17"/>
  <c r="J85" i="1"/>
  <c r="I66" i="29" l="1"/>
  <c r="I67" i="29" s="1"/>
  <c r="I68" i="29" s="1"/>
  <c r="J85" i="17"/>
  <c r="H87" i="17"/>
  <c r="E93" i="4"/>
  <c r="E106" i="4" s="1"/>
  <c r="H106" i="4"/>
  <c r="H107" i="4" s="1"/>
  <c r="I106" i="4"/>
  <c r="I107" i="4" s="1"/>
  <c r="F106" i="4"/>
  <c r="F107" i="4" s="1"/>
  <c r="I47" i="29" l="1"/>
  <c r="I48" i="29" s="1"/>
  <c r="I50" i="29" s="1"/>
  <c r="I60" i="29" s="1"/>
  <c r="H86" i="1" s="1"/>
  <c r="H31" i="1" s="1"/>
  <c r="H85" i="1"/>
  <c r="K85" i="1" s="1"/>
  <c r="J87" i="17"/>
  <c r="H84" i="1"/>
  <c r="K30" i="1" s="1"/>
  <c r="G106" i="4"/>
  <c r="G107" i="4" s="1"/>
  <c r="I62" i="29" l="1"/>
  <c r="H87" i="1" s="1"/>
  <c r="H58" i="1" s="1"/>
  <c r="K84" i="1"/>
  <c r="H57" i="1"/>
  <c r="K57" i="1"/>
  <c r="H30" i="1"/>
  <c r="E46" i="29"/>
  <c r="E48" i="29" s="1"/>
  <c r="E50" i="29" s="1"/>
  <c r="E60" i="29" s="1"/>
  <c r="D86" i="1" s="1"/>
  <c r="E62" i="29" l="1"/>
  <c r="D87" i="1" s="1"/>
  <c r="D58" i="1" s="1"/>
  <c r="D31" i="1"/>
  <c r="J31" i="1"/>
  <c r="K86" i="1"/>
  <c r="J86" i="1"/>
  <c r="K31" i="1"/>
  <c r="E107" i="4"/>
  <c r="J87" i="1" l="1"/>
  <c r="K58" i="1"/>
  <c r="K87" i="1"/>
  <c r="J58" i="1"/>
  <c r="H73" i="2" l="1"/>
  <c r="E73" i="2"/>
  <c r="F44" i="2" l="1"/>
  <c r="D73" i="2"/>
  <c r="I71" i="2"/>
  <c r="I73" i="2" s="1"/>
  <c r="E15" i="2"/>
  <c r="E77" i="2"/>
  <c r="E89" i="2" s="1"/>
  <c r="E78" i="2"/>
  <c r="E90" i="2" s="1"/>
  <c r="G44" i="2"/>
  <c r="D191" i="2"/>
  <c r="G15" i="2"/>
  <c r="E44" i="2"/>
  <c r="G73" i="2"/>
  <c r="F15" i="2"/>
  <c r="H44" i="2"/>
  <c r="H78" i="2"/>
  <c r="H90" i="2" s="1"/>
  <c r="H77" i="2"/>
  <c r="H89" i="2" s="1"/>
  <c r="F73" i="2"/>
  <c r="H15" i="2"/>
  <c r="E91" i="2" l="1"/>
  <c r="F78" i="2"/>
  <c r="F90" i="2" s="1"/>
  <c r="F77" i="2"/>
  <c r="F89" i="2" s="1"/>
  <c r="F91" i="2" s="1"/>
  <c r="D44" i="2"/>
  <c r="J42" i="2"/>
  <c r="J44" i="2" s="1"/>
  <c r="I42" i="2"/>
  <c r="I44" i="2" s="1"/>
  <c r="H91" i="2"/>
  <c r="G77" i="2"/>
  <c r="G89" i="2" s="1"/>
  <c r="G78" i="2"/>
  <c r="G90" i="2" s="1"/>
  <c r="H49" i="2"/>
  <c r="H66" i="2" s="1"/>
  <c r="H48" i="2"/>
  <c r="H65" i="2" s="1"/>
  <c r="E49" i="2"/>
  <c r="E66" i="2" s="1"/>
  <c r="E48" i="2"/>
  <c r="E65" i="2" s="1"/>
  <c r="D77" i="2"/>
  <c r="D78" i="2"/>
  <c r="G49" i="2"/>
  <c r="G66" i="2" s="1"/>
  <c r="G48" i="2"/>
  <c r="G65" i="2" s="1"/>
  <c r="J71" i="2"/>
  <c r="J73" i="2" s="1"/>
  <c r="E19" i="2"/>
  <c r="E36" i="2" s="1"/>
  <c r="E20" i="2"/>
  <c r="E37" i="2" s="1"/>
  <c r="G20" i="2"/>
  <c r="G37" i="2" s="1"/>
  <c r="G19" i="2"/>
  <c r="G36" i="2" s="1"/>
  <c r="D15" i="2"/>
  <c r="J13" i="2"/>
  <c r="J15" i="2" s="1"/>
  <c r="I13" i="2"/>
  <c r="I15" i="2" s="1"/>
  <c r="F48" i="2"/>
  <c r="F65" i="2" s="1"/>
  <c r="F49" i="2"/>
  <c r="F66" i="2" s="1"/>
  <c r="H19" i="2"/>
  <c r="H36" i="2" s="1"/>
  <c r="H20" i="2"/>
  <c r="F20" i="2"/>
  <c r="F19" i="2"/>
  <c r="F36" i="2" s="1"/>
  <c r="H67" i="2" l="1"/>
  <c r="G67" i="2"/>
  <c r="H37" i="2"/>
  <c r="H97" i="2" s="1"/>
  <c r="H66" i="1" s="1"/>
  <c r="F37" i="2"/>
  <c r="F97" i="2" s="1"/>
  <c r="F66" i="1" s="1"/>
  <c r="E67" i="2"/>
  <c r="E97" i="2"/>
  <c r="E66" i="1" s="1"/>
  <c r="E12" i="1" s="1"/>
  <c r="E29" i="1" s="1"/>
  <c r="E32" i="1" s="1"/>
  <c r="F38" i="2"/>
  <c r="F96" i="2"/>
  <c r="J78" i="2"/>
  <c r="D90" i="2"/>
  <c r="I78" i="2"/>
  <c r="E39" i="1"/>
  <c r="E56" i="1" s="1"/>
  <c r="E59" i="1" s="1"/>
  <c r="D89" i="2"/>
  <c r="J77" i="2"/>
  <c r="I77" i="2"/>
  <c r="D49" i="2"/>
  <c r="D48" i="2"/>
  <c r="G38" i="2"/>
  <c r="G96" i="2"/>
  <c r="E38" i="2"/>
  <c r="E96" i="2"/>
  <c r="H96" i="2"/>
  <c r="H38" i="2"/>
  <c r="G97" i="2"/>
  <c r="G66" i="1" s="1"/>
  <c r="G91" i="2"/>
  <c r="F67" i="2"/>
  <c r="D20" i="2"/>
  <c r="D19" i="2"/>
  <c r="E83" i="1" l="1"/>
  <c r="E88" i="1" s="1"/>
  <c r="E98" i="2"/>
  <c r="F12" i="1"/>
  <c r="F29" i="1" s="1"/>
  <c r="F32" i="1" s="1"/>
  <c r="F39" i="1"/>
  <c r="F56" i="1" s="1"/>
  <c r="F59" i="1" s="1"/>
  <c r="F83" i="1"/>
  <c r="F88" i="1" s="1"/>
  <c r="H39" i="1"/>
  <c r="H56" i="1" s="1"/>
  <c r="H59" i="1" s="1"/>
  <c r="H12" i="1"/>
  <c r="H29" i="1" s="1"/>
  <c r="H32" i="1" s="1"/>
  <c r="H83" i="1"/>
  <c r="H88" i="1" s="1"/>
  <c r="H98" i="2"/>
  <c r="F98" i="2"/>
  <c r="D36" i="2"/>
  <c r="J19" i="2"/>
  <c r="I19" i="2"/>
  <c r="J20" i="2"/>
  <c r="D37" i="2"/>
  <c r="I20" i="2"/>
  <c r="D65" i="2"/>
  <c r="J48" i="2"/>
  <c r="I48" i="2"/>
  <c r="I90" i="2"/>
  <c r="J90" i="2"/>
  <c r="J49" i="2"/>
  <c r="D66" i="2"/>
  <c r="I49" i="2"/>
  <c r="I89" i="2"/>
  <c r="D91" i="2"/>
  <c r="J89" i="2"/>
  <c r="G39" i="1"/>
  <c r="G56" i="1" s="1"/>
  <c r="G59" i="1" s="1"/>
  <c r="G12" i="1"/>
  <c r="G29" i="1" s="1"/>
  <c r="G32" i="1" s="1"/>
  <c r="G83" i="1"/>
  <c r="G88" i="1" s="1"/>
  <c r="G98" i="2"/>
  <c r="I65" i="2" l="1"/>
  <c r="J65" i="2"/>
  <c r="D67" i="2"/>
  <c r="I37" i="2"/>
  <c r="D97" i="2"/>
  <c r="J37" i="2"/>
  <c r="I91" i="2"/>
  <c r="J91" i="2"/>
  <c r="I66" i="2"/>
  <c r="J66" i="2"/>
  <c r="I36" i="2"/>
  <c r="J36" i="2"/>
  <c r="D38" i="2"/>
  <c r="D96" i="2"/>
  <c r="J67" i="2" l="1"/>
  <c r="I67" i="2"/>
  <c r="I96" i="2"/>
  <c r="J96" i="2"/>
  <c r="D98" i="2"/>
  <c r="I38" i="2"/>
  <c r="J38" i="2"/>
  <c r="J97" i="2"/>
  <c r="D66" i="1"/>
  <c r="I97" i="2"/>
  <c r="I98" i="2" l="1"/>
  <c r="J98" i="2"/>
  <c r="J66" i="1"/>
  <c r="J83" i="1" s="1"/>
  <c r="J88" i="1" s="1"/>
  <c r="K66" i="1"/>
  <c r="K83" i="1" s="1"/>
  <c r="K88" i="1" s="1"/>
  <c r="D12" i="1"/>
  <c r="D29" i="1" s="1"/>
  <c r="D32" i="1" s="1"/>
  <c r="J12" i="1"/>
  <c r="J29" i="1" s="1"/>
  <c r="J32" i="1" s="1"/>
  <c r="J39" i="1"/>
  <c r="J56" i="1" s="1"/>
  <c r="J59" i="1" s="1"/>
  <c r="D39" i="1"/>
  <c r="D56" i="1" s="1"/>
  <c r="D59" i="1" s="1"/>
  <c r="D83" i="1"/>
  <c r="D88" i="1" s="1"/>
  <c r="K39" i="1"/>
  <c r="K56" i="1" s="1"/>
  <c r="K59" i="1" s="1"/>
  <c r="K12" i="1"/>
  <c r="K29" i="1" l="1"/>
  <c r="K32" i="1" s="1"/>
</calcChain>
</file>

<file path=xl/sharedStrings.xml><?xml version="1.0" encoding="utf-8"?>
<sst xmlns="http://schemas.openxmlformats.org/spreadsheetml/2006/main" count="1493" uniqueCount="732">
  <si>
    <t>Regulatory Financial Performance Report</t>
  </si>
  <si>
    <t xml:space="preserve">                           </t>
  </si>
  <si>
    <t>RIIO-2 start date (enter 2022 for 2021-22)</t>
  </si>
  <si>
    <t>Licensee</t>
  </si>
  <si>
    <t>Cadent-NW</t>
  </si>
  <si>
    <t>Input cells</t>
  </si>
  <si>
    <t>Sector</t>
  </si>
  <si>
    <t>Totals cells (of formula within worksheet)</t>
  </si>
  <si>
    <t>Reporting Year:
(enter 2022 for 2021-22)</t>
  </si>
  <si>
    <t xml:space="preserve">Linked cells </t>
  </si>
  <si>
    <t>Version (Number)</t>
  </si>
  <si>
    <t>Referencing to other workbooks (Eg. PCFM/ RRP)</t>
  </si>
  <si>
    <t>Submitted Date:</t>
  </si>
  <si>
    <t>Check cells</t>
  </si>
  <si>
    <t>No Input</t>
  </si>
  <si>
    <t>Descriptions and pack data</t>
  </si>
  <si>
    <t>Network Operator Data</t>
  </si>
  <si>
    <t>Cost of Equity</t>
  </si>
  <si>
    <t>Materiality £m</t>
  </si>
  <si>
    <t>ED</t>
  </si>
  <si>
    <t>£m 20/21</t>
  </si>
  <si>
    <t>Sharing Factor</t>
  </si>
  <si>
    <t>ET</t>
  </si>
  <si>
    <t>£m 18/19</t>
  </si>
  <si>
    <t>Notional Gearing</t>
  </si>
  <si>
    <t>GD</t>
  </si>
  <si>
    <t>Price basis</t>
  </si>
  <si>
    <t>GT</t>
  </si>
  <si>
    <t>ESO</t>
  </si>
  <si>
    <t>Combined RPI-CPIH price index</t>
  </si>
  <si>
    <t>Actual / Forecast index</t>
  </si>
  <si>
    <t>Year end</t>
  </si>
  <si>
    <t>Reporting Year</t>
  </si>
  <si>
    <t>Financial Year Average RPI - CPIH (PIt)</t>
  </si>
  <si>
    <t>Combined RPI-CPIH price index (financial year end)</t>
  </si>
  <si>
    <t>Corporate Tax</t>
  </si>
  <si>
    <t>Consumer Prices Index incl. housing costs (financial year average)</t>
  </si>
  <si>
    <t>Long term CPIH inflation forecast</t>
  </si>
  <si>
    <t>LTCPIHt</t>
  </si>
  <si>
    <t>RPI-CPIH real to nominal prices CF</t>
  </si>
  <si>
    <t>1 year change in Fin Year Average RPI-CPIH</t>
  </si>
  <si>
    <t>Combined real to nominal prices conversion factor (financial year end)</t>
  </si>
  <si>
    <t>Allowed cost of debt %</t>
  </si>
  <si>
    <t>WPD</t>
  </si>
  <si>
    <t>ED - excluding WPD</t>
  </si>
  <si>
    <t>SHET</t>
  </si>
  <si>
    <t>ET - excluding SHET</t>
  </si>
  <si>
    <t>GD with Uplift</t>
  </si>
  <si>
    <t>Allowed cost of equity %</t>
  </si>
  <si>
    <t>ED2</t>
  </si>
  <si>
    <t>ET2</t>
  </si>
  <si>
    <t>GD2</t>
  </si>
  <si>
    <t>GT2</t>
  </si>
  <si>
    <t>ESO2</t>
  </si>
  <si>
    <t>Funding Adjustment Rate (Sharing Factor)</t>
  </si>
  <si>
    <t>Gearing</t>
  </si>
  <si>
    <t>RIIO2 Start FY</t>
  </si>
  <si>
    <t>Price Basis</t>
  </si>
  <si>
    <t>CoD Category</t>
  </si>
  <si>
    <t>Allowed cost of debt</t>
  </si>
  <si>
    <t>Allowed cost of equity</t>
  </si>
  <si>
    <t>Default</t>
  </si>
  <si>
    <t>ENWL</t>
  </si>
  <si>
    <t>NPgN</t>
  </si>
  <si>
    <t>NPgY</t>
  </si>
  <si>
    <t>UKPN-EPN</t>
  </si>
  <si>
    <t>UKPN-LPN</t>
  </si>
  <si>
    <t>UKPN-SPN</t>
  </si>
  <si>
    <t>SPD</t>
  </si>
  <si>
    <t>SPMW</t>
  </si>
  <si>
    <t>SSEH</t>
  </si>
  <si>
    <t>SSES</t>
  </si>
  <si>
    <t>WPD-EMID</t>
  </si>
  <si>
    <t>WPD-WMID</t>
  </si>
  <si>
    <t>WPD-SWALES</t>
  </si>
  <si>
    <t>WPD-SWEST</t>
  </si>
  <si>
    <t>Cadent-EOE</t>
  </si>
  <si>
    <t>Cadent-London</t>
  </si>
  <si>
    <t>Cadent-WM</t>
  </si>
  <si>
    <t>NGN</t>
  </si>
  <si>
    <t>SGN - Scotland</t>
  </si>
  <si>
    <t>SGN - Southern</t>
  </si>
  <si>
    <t>WWU</t>
  </si>
  <si>
    <t>NGGT (TO)</t>
  </si>
  <si>
    <t>NGGT (SO)</t>
  </si>
  <si>
    <t>NGGT (TO+SO)</t>
  </si>
  <si>
    <t>NGET (TO)</t>
  </si>
  <si>
    <t>SPT</t>
  </si>
  <si>
    <r>
      <t>Business Plan Incentive (BPI</t>
    </r>
    <r>
      <rPr>
        <vertAlign val="subscript"/>
        <sz val="10"/>
        <color theme="1"/>
        <rFont val="Verdana"/>
        <family val="2"/>
      </rPr>
      <t>t</t>
    </r>
    <r>
      <rPr>
        <sz val="10"/>
        <color theme="1"/>
        <rFont val="Verdana"/>
        <family val="2"/>
      </rPr>
      <t>)</t>
    </r>
  </si>
  <si>
    <t>Output incentives for each sector used to populate R4</t>
  </si>
  <si>
    <t>Input for R4 - Output Incentives</t>
  </si>
  <si>
    <t>Broad measure of customer service</t>
  </si>
  <si>
    <t>Interruptions-related quality of service</t>
  </si>
  <si>
    <t>Incentive on connections engagement</t>
  </si>
  <si>
    <t>Time to Connect Incentive</t>
  </si>
  <si>
    <t>Losses discretionary reward scheme</t>
  </si>
  <si>
    <t>Customer Satisfaction Survey ODI</t>
  </si>
  <si>
    <t>Complaints metric ODI</t>
  </si>
  <si>
    <t>Unplanned Interruption Mean Duration ODI [NGN, SGN and WWU]</t>
  </si>
  <si>
    <t>Unplanned Interruption Mean Duration ODI [Cadent only]</t>
  </si>
  <si>
    <t>Shrinkage Management ODI</t>
  </si>
  <si>
    <t>Collaborative streetworks ODI [Cadent Lon &amp; EoE, SGN So only]</t>
  </si>
  <si>
    <t>Customer satisfaction survey ODI</t>
  </si>
  <si>
    <t>Environmental scorecard ODI</t>
  </si>
  <si>
    <t xml:space="preserve">Energy not supplied ODI </t>
  </si>
  <si>
    <t>Reporting &amp; Incentive Arrangements (ESORIt)</t>
  </si>
  <si>
    <t xml:space="preserve">Insulation And Interruption Gas emissions ODI </t>
  </si>
  <si>
    <t xml:space="preserve">Timely Connections ODI </t>
  </si>
  <si>
    <t xml:space="preserve">Quality of connections satisfaction survey ODI </t>
  </si>
  <si>
    <t>SO-TO Optimisation ODI</t>
  </si>
  <si>
    <t xml:space="preserve">Environmental scorecard ODI </t>
  </si>
  <si>
    <t>Other Revenue Allowances (ORA) - Innovation and Incentives only, for each sector used to populate R4</t>
  </si>
  <si>
    <t>Input for R4 - Other Revenue Allowances</t>
  </si>
  <si>
    <t xml:space="preserve">RIIO-2 network innovation allowance </t>
  </si>
  <si>
    <t xml:space="preserve">Carry-over Network Innovation Allowance </t>
  </si>
  <si>
    <t>Network Innovation Allowance</t>
  </si>
  <si>
    <t>Carry Over RIIO-1 Network Innovation Allowance</t>
  </si>
  <si>
    <t>Strategic Innovation Fund</t>
  </si>
  <si>
    <t>Constraint management incentive revenue</t>
  </si>
  <si>
    <t xml:space="preserve">Residual balancing incentive </t>
  </si>
  <si>
    <t xml:space="preserve">Quality of demand forecasting incentive </t>
  </si>
  <si>
    <t>Greenhouse gas emissions incentive</t>
  </si>
  <si>
    <t xml:space="preserve">Maintenance incentive </t>
  </si>
  <si>
    <t>User interface for R5a and R6a worksheets for drop down lists</t>
  </si>
  <si>
    <t>Bond or loan types</t>
  </si>
  <si>
    <t>Fixed rate</t>
  </si>
  <si>
    <t>Floating</t>
  </si>
  <si>
    <t>Inflation-linked</t>
  </si>
  <si>
    <t>Reference rate</t>
  </si>
  <si>
    <t>Not applicable</t>
  </si>
  <si>
    <t>LIBOR 3 month</t>
  </si>
  <si>
    <t>LIBOR 6 month</t>
  </si>
  <si>
    <t>EURIBOR 3 month</t>
  </si>
  <si>
    <t>BOE base rate</t>
  </si>
  <si>
    <t>RPI 12 month</t>
  </si>
  <si>
    <t>CPI 12 month</t>
  </si>
  <si>
    <t>Currency</t>
  </si>
  <si>
    <t>GBP</t>
  </si>
  <si>
    <t>EUR</t>
  </si>
  <si>
    <t>USD</t>
  </si>
  <si>
    <t>HKD</t>
  </si>
  <si>
    <t>CAD</t>
  </si>
  <si>
    <t>Rank</t>
  </si>
  <si>
    <t>Senior</t>
  </si>
  <si>
    <t>Junior</t>
  </si>
  <si>
    <t>Hedged</t>
  </si>
  <si>
    <t>Yes - fully hedged</t>
  </si>
  <si>
    <t>Yes - partially hedged</t>
  </si>
  <si>
    <t>No</t>
  </si>
  <si>
    <t>Special features</t>
  </si>
  <si>
    <t>Callable</t>
  </si>
  <si>
    <t>Puttable</t>
  </si>
  <si>
    <t>Counterparty</t>
  </si>
  <si>
    <t>EIB</t>
  </si>
  <si>
    <t>RBS</t>
  </si>
  <si>
    <t>Swap legs</t>
  </si>
  <si>
    <t>Version control</t>
  </si>
  <si>
    <t xml:space="preserve"> </t>
  </si>
  <si>
    <t>Version:</t>
  </si>
  <si>
    <t>Submission</t>
  </si>
  <si>
    <t>Date submitted</t>
  </si>
  <si>
    <t>Changes</t>
  </si>
  <si>
    <t>Submission 1</t>
  </si>
  <si>
    <t>31st August 2022</t>
  </si>
  <si>
    <t>Submission 2</t>
  </si>
  <si>
    <t>Submission 3</t>
  </si>
  <si>
    <t>Submission 4</t>
  </si>
  <si>
    <t>Submission 5</t>
  </si>
  <si>
    <t>Submission 6</t>
  </si>
  <si>
    <t>Submission 7</t>
  </si>
  <si>
    <t>Submission 8</t>
  </si>
  <si>
    <t>Submission 9</t>
  </si>
  <si>
    <t>Submission 10</t>
  </si>
  <si>
    <t>R1 - RoRE</t>
  </si>
  <si>
    <t>R2 - Rec to Revenue and Profit</t>
  </si>
  <si>
    <t>R3 - Totex - Reconciliation</t>
  </si>
  <si>
    <t>R4 - Incentives and Other Rev</t>
  </si>
  <si>
    <t>R5 - Financing</t>
  </si>
  <si>
    <t>R5a - Financing input</t>
  </si>
  <si>
    <t>R6 - Net Debt</t>
  </si>
  <si>
    <t>R6a - Net Debt input</t>
  </si>
  <si>
    <t>R7 - RAV</t>
  </si>
  <si>
    <t>R8 - Tax</t>
  </si>
  <si>
    <t>R8a - Tax Reconciliation</t>
  </si>
  <si>
    <t>R9 - Corporate Governance</t>
  </si>
  <si>
    <t>R10 - Pensions &amp; other Activities</t>
  </si>
  <si>
    <t>Change log</t>
  </si>
  <si>
    <t>Version</t>
  </si>
  <si>
    <t>Table Reference</t>
  </si>
  <si>
    <t>Changes made to RFPR template</t>
  </si>
  <si>
    <t>R1 - Return on Regulatory Equity (RoRE)</t>
  </si>
  <si>
    <t>RIIO-2 period</t>
  </si>
  <si>
    <t>RoRE based on Notional Gearing</t>
  </si>
  <si>
    <t>Allowed Equity Return</t>
  </si>
  <si>
    <t>%</t>
  </si>
  <si>
    <t>a</t>
  </si>
  <si>
    <t>b</t>
  </si>
  <si>
    <t>c</t>
  </si>
  <si>
    <t>d</t>
  </si>
  <si>
    <t>e</t>
  </si>
  <si>
    <t>f</t>
  </si>
  <si>
    <t>g</t>
  </si>
  <si>
    <t>i</t>
  </si>
  <si>
    <t>ii</t>
  </si>
  <si>
    <t>iii</t>
  </si>
  <si>
    <t>iv</t>
  </si>
  <si>
    <t>v</t>
  </si>
  <si>
    <t>vi</t>
  </si>
  <si>
    <t>vii</t>
  </si>
  <si>
    <t>viii</t>
  </si>
  <si>
    <t>RoRE based on Actual Gearing</t>
  </si>
  <si>
    <t>Debt performance - at actual gearing</t>
  </si>
  <si>
    <t>Tax performance - at actual gearing</t>
  </si>
  <si>
    <t>RoRE input values</t>
  </si>
  <si>
    <t>Equity Return on the RAV</t>
  </si>
  <si>
    <t>Totex outperformance</t>
  </si>
  <si>
    <t>Business Plan Incentive</t>
  </si>
  <si>
    <t>Penalties and fines (Other Activities)</t>
  </si>
  <si>
    <t>RoRE - Operational performance</t>
  </si>
  <si>
    <t>Debt performance - at notional gearing</t>
  </si>
  <si>
    <t>Debt performance - impact of actual gearing</t>
  </si>
  <si>
    <t>Tax performance - at notional gearing</t>
  </si>
  <si>
    <t>Tax performance - impact of actual gearing</t>
  </si>
  <si>
    <t>RoRE - including financing and tax</t>
  </si>
  <si>
    <t>NPV-neutral equity RAV based on notional gearing</t>
  </si>
  <si>
    <t>Equity RAV based on actual gearing</t>
  </si>
  <si>
    <t>R2 - Reconciliation to Revenue and Profit</t>
  </si>
  <si>
    <t>Reconciliation: Regulated Network Revenue to Accounts</t>
  </si>
  <si>
    <t>Allowed Revenue - per latest published PCFM</t>
  </si>
  <si>
    <t>Calculated revenue (as published)</t>
  </si>
  <si>
    <t>£m nominal</t>
  </si>
  <si>
    <t>AIP adjustment term (as published)</t>
  </si>
  <si>
    <t>Adjusted revenue (as published)</t>
  </si>
  <si>
    <t>Legacy Allowed Revenue</t>
  </si>
  <si>
    <t>K Correction Factor</t>
  </si>
  <si>
    <t>Allowed Network Revenue</t>
  </si>
  <si>
    <t>(Under) / Over recovery</t>
  </si>
  <si>
    <t>Collected Regulated Network Revenue</t>
  </si>
  <si>
    <t>RRt</t>
  </si>
  <si>
    <t>Other Turnover Items</t>
  </si>
  <si>
    <t>Strategic Innovation Fund (SIF) payments received from TO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</si>
  <si>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</si>
  <si>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</si>
  <si>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</si>
  <si>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</si>
  <si>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</si>
  <si>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</si>
  <si>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</si>
  <si>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Accruals</t>
  </si>
  <si>
    <t>Total Other Turnover Items</t>
  </si>
  <si>
    <t>Other adjustments - please list</t>
  </si>
  <si>
    <t>Excluded Services (Inc. Customer Contributions)</t>
  </si>
  <si>
    <t>Meter Reading and metering</t>
  </si>
  <si>
    <t>Services provided under consents</t>
  </si>
  <si>
    <t>Other transportation Revenue</t>
  </si>
  <si>
    <t>Customer contributions</t>
  </si>
  <si>
    <t>Xoserve</t>
  </si>
  <si>
    <t>Elimination of Inter Group/Business Trading</t>
  </si>
  <si>
    <t>Revenue classified as expenditure</t>
  </si>
  <si>
    <t>Other three network revenues</t>
  </si>
  <si>
    <t>Metering</t>
  </si>
  <si>
    <t>IFRS 15 Contribution released</t>
  </si>
  <si>
    <t>Theft of Gas</t>
  </si>
  <si>
    <t>Bad Debt</t>
  </si>
  <si>
    <t>Supplier of Last Resort</t>
  </si>
  <si>
    <t>R&amp;D Tax Credit</t>
  </si>
  <si>
    <t>Rounding</t>
  </si>
  <si>
    <t>Total other adjustments</t>
  </si>
  <si>
    <t>Reconciled total revenue</t>
  </si>
  <si>
    <t>Turnover as per Profit and Loss (Stat Accounts)</t>
  </si>
  <si>
    <t>Check</t>
  </si>
  <si>
    <t>Reconciliation: Regulated Network Profit to Statutory Accounts</t>
  </si>
  <si>
    <t>Turnover/Revenue as per Statutory Accounts</t>
  </si>
  <si>
    <t>Operating Costs, Pensions and Other Costs as per Statutory Accounts</t>
  </si>
  <si>
    <t>Reconciliation</t>
  </si>
  <si>
    <t>Total Costs not related to the price control Regulated business</t>
  </si>
  <si>
    <t>Atypical costs adjustment (reported on cash basis)</t>
  </si>
  <si>
    <t>Total Operating Costs as reported in the latest RRP submission (related to regulated business)</t>
  </si>
  <si>
    <t>Difference</t>
  </si>
  <si>
    <t>Earnings/ Operating Profit (EBITDA) per Statutory Accounts</t>
  </si>
  <si>
    <t>Operating Profit related to Regulated business</t>
  </si>
  <si>
    <t>Depreciation and Amortisation costs as per Statutory Accounts</t>
  </si>
  <si>
    <t>Costs not related to the price control Regulated business</t>
  </si>
  <si>
    <t>Depreciation, amortisation related to capex adjustments</t>
  </si>
  <si>
    <t>Other [Input description, add additional rows as required]</t>
  </si>
  <si>
    <t>Total Adjustments</t>
  </si>
  <si>
    <t>Total Depreciation and Amortisation Costs related to the Regulated business</t>
  </si>
  <si>
    <t>Earnings before Interest and Taxes (EBIT) per Statutory Accounts</t>
  </si>
  <si>
    <t>Operating Profit before Interest and Taxes related to Regulated business</t>
  </si>
  <si>
    <t>Net Interest as per Statutory Accounts</t>
  </si>
  <si>
    <t>Net Interest Per Regulatory (RIIO-2) Definition</t>
  </si>
  <si>
    <t>Tax as per Statutory Accounts</t>
  </si>
  <si>
    <t xml:space="preserve">  Less Deferred Taxes</t>
  </si>
  <si>
    <t>Tax as per Statutory Accounts (net of deferred taxes)</t>
  </si>
  <si>
    <t>Tax related to Regulated business</t>
  </si>
  <si>
    <t>Net Profit as per Statutory Accounts</t>
  </si>
  <si>
    <t>Net Profit related to Regulated business</t>
  </si>
  <si>
    <t>Supporting Comments/Narrative</t>
  </si>
  <si>
    <t>R3 - Totex &amp; Reconciliation</t>
  </si>
  <si>
    <t>Totex per the latest PCFM</t>
  </si>
  <si>
    <t>In this section, rows 13-99 do not apply to ESO</t>
  </si>
  <si>
    <t>Capitalisation 1 totex (excluding repex)</t>
  </si>
  <si>
    <t>Latest Totex actuals/forecast</t>
  </si>
  <si>
    <t xml:space="preserve">Totex allowance 
</t>
  </si>
  <si>
    <t>Totex out(under)performance</t>
  </si>
  <si>
    <t>Funding Adjustment Rate (often referred to as 'sharing factor')</t>
  </si>
  <si>
    <t>Customer share of out(under) performance</t>
  </si>
  <si>
    <t>NWO share of performance</t>
  </si>
  <si>
    <t>Enduring Value adjustments to Totex performance</t>
  </si>
  <si>
    <t>Disaggregation of Allowances</t>
  </si>
  <si>
    <t>Baseline Network Risk Output rephasing</t>
  </si>
  <si>
    <t>Total enduring value adjustments</t>
  </si>
  <si>
    <t>Enduring Value adjustments (UIOLI)</t>
  </si>
  <si>
    <t>Enduring Value: Customer share of performance</t>
  </si>
  <si>
    <t>Enduring Value: NWO share of performance</t>
  </si>
  <si>
    <t>Total out(under) performance (including enduring value adjustments)</t>
  </si>
  <si>
    <t>Total out (under) performance</t>
  </si>
  <si>
    <t>Capitalisation 2 totex (excluding repex)</t>
  </si>
  <si>
    <t xml:space="preserve">Totex allowance 
  </t>
  </si>
  <si>
    <t>Repex (not applicable for TOs)</t>
  </si>
  <si>
    <t>Latest Repex actuals/forecast</t>
  </si>
  <si>
    <t xml:space="preserve">Totex allowance 
 </t>
  </si>
  <si>
    <t>Totex Summary</t>
  </si>
  <si>
    <t>Total out(under) performance</t>
  </si>
  <si>
    <t>Customer share of performance</t>
  </si>
  <si>
    <t>Total</t>
  </si>
  <si>
    <t>Reconciliation to Totex</t>
  </si>
  <si>
    <t>Total Expenditure Per Accounts</t>
  </si>
  <si>
    <t>Tangible Fixed Asset Additions</t>
  </si>
  <si>
    <t>Intangible Asset Additions (under IFRS) - IT Software</t>
  </si>
  <si>
    <t>Disposals (cash proceeds)
[If Statutory Accounts treat this as an exceptional item, leave the input blank]</t>
  </si>
  <si>
    <t>Customer Contributions Additions</t>
  </si>
  <si>
    <t>Capitalised interest</t>
  </si>
  <si>
    <t>Revaluation of tangible fixed assets</t>
  </si>
  <si>
    <t>[Input description]</t>
  </si>
  <si>
    <t>Capex Incurred</t>
  </si>
  <si>
    <t>Operational Costs Incurred</t>
  </si>
  <si>
    <t>Opex Incurred</t>
  </si>
  <si>
    <t>Total Expenditure Incurred</t>
  </si>
  <si>
    <t>Reconciling Items to Total Net costs after non-price control allocations</t>
  </si>
  <si>
    <t>Opex Reconciling Adjustments</t>
  </si>
  <si>
    <t>Total expenditure relating to excluded services (deminimis, excluded, consented and metering)</t>
  </si>
  <si>
    <t>Profit or Loss on Disposals</t>
  </si>
  <si>
    <t>Cadent total GSOP Payments</t>
  </si>
  <si>
    <t>Cash typical adjustments</t>
  </si>
  <si>
    <t>Cash typical adjustments (Provision utilisation)</t>
  </si>
  <si>
    <t>Atypical amounts (network specific)</t>
  </si>
  <si>
    <t>IFRS 16 Impact</t>
  </si>
  <si>
    <t>Incremental element of pension deficit recovery plan payment</t>
  </si>
  <si>
    <t>Bad debts</t>
  </si>
  <si>
    <t>Vulnerability UIOLI</t>
  </si>
  <si>
    <t>Theft of Gas Income Recoveries</t>
  </si>
  <si>
    <t>Supplier of last resort</t>
  </si>
  <si>
    <t>Established pension deficit recovery plan payment</t>
  </si>
  <si>
    <t>Shrinkage accruals</t>
  </si>
  <si>
    <t>Rounding across networks</t>
  </si>
  <si>
    <t>Total expenditure relating to other networks</t>
  </si>
  <si>
    <t xml:space="preserve">Total </t>
  </si>
  <si>
    <t>Capex Reconciling Adjustments</t>
  </si>
  <si>
    <t>Connections income</t>
  </si>
  <si>
    <t>IFRS 16 Additions</t>
  </si>
  <si>
    <t>NIA Optinet</t>
  </si>
  <si>
    <t>Depreciation &amp; amortisation of Intangibles</t>
  </si>
  <si>
    <t>Total Reconciling Items</t>
  </si>
  <si>
    <t>Total Net costs after non-price control allocations</t>
  </si>
  <si>
    <t>Total Costs per latest RRP submission(all sectors except ESO)*</t>
  </si>
  <si>
    <t>licensee to provide cell reference to new RRP</t>
  </si>
  <si>
    <t>Total Costs per latest RRP submission (ESO)*</t>
  </si>
  <si>
    <t>Total Costs per latest RRP submission</t>
  </si>
  <si>
    <t>check</t>
  </si>
  <si>
    <t>Reconciling Items to Totex</t>
  </si>
  <si>
    <t>Shrinkage</t>
  </si>
  <si>
    <t>Ofgem Licence</t>
  </si>
  <si>
    <t>Network Rates</t>
  </si>
  <si>
    <t>NTS exit costs</t>
  </si>
  <si>
    <t>Network Innovation (ex IRM)</t>
  </si>
  <si>
    <t>Unfunded Network Innovation</t>
  </si>
  <si>
    <t>Total reconciling items not recognised in totex</t>
  </si>
  <si>
    <t>Reconciled Totex</t>
  </si>
  <si>
    <t>PCFM/ RRP reported Totex</t>
  </si>
  <si>
    <t>for ESO only, this row should be inputted directly from the PCFM</t>
  </si>
  <si>
    <t>*Licensee to provide a cell reference to the latest submitted RRP file from where the value is taken and note it in supporting comments/ narrative section below.</t>
  </si>
  <si>
    <t>D156 ties to RRP table 1.01 cell AI63</t>
  </si>
  <si>
    <t>Depreciation shown in Capex reconciling items to ensure R2 reconciliation is correct</t>
  </si>
  <si>
    <t>R4 - Incentives and Other Revenue</t>
  </si>
  <si>
    <t>Output Incentives (Post Tax)</t>
  </si>
  <si>
    <t>Business Plan Incentive (per latest PCFM company-specific Input Sheet)</t>
  </si>
  <si>
    <t>Output Incentives  (per latest PCFM company-specific Input Sheet)</t>
  </si>
  <si>
    <t>Earned Output Incentive revenue as per PCFM</t>
  </si>
  <si>
    <t>Additional Commentary</t>
  </si>
  <si>
    <r>
      <t>Other revenue allowances (ORA</t>
    </r>
    <r>
      <rPr>
        <b/>
        <vertAlign val="subscript"/>
        <sz val="14"/>
        <color theme="1"/>
        <rFont val="Verdana"/>
        <family val="2"/>
      </rPr>
      <t>t</t>
    </r>
    <r>
      <rPr>
        <b/>
        <sz val="14"/>
        <color theme="1"/>
        <rFont val="Verdana"/>
        <family val="2"/>
      </rPr>
      <t xml:space="preserve">) - Post Tax </t>
    </r>
  </si>
  <si>
    <t xml:space="preserve">Innovation </t>
  </si>
  <si>
    <t>Total NIA Expenditure</t>
  </si>
  <si>
    <t>Does not apply to NGGT SO</t>
  </si>
  <si>
    <t>Unrecoverable Expenditure (eg not conforming to technical requirements)</t>
  </si>
  <si>
    <t>Company Compulsory Contribution (including % contribution funded by licensee)</t>
  </si>
  <si>
    <t>Allowed NIA adjustment</t>
  </si>
  <si>
    <t>Network innovation input for RORE</t>
  </si>
  <si>
    <t>Eligible NIA expenditure and Bid Preparation costs</t>
  </si>
  <si>
    <t>Allowed CNIA adjustment</t>
  </si>
  <si>
    <t>Carry-over Network innovation input for RORE</t>
  </si>
  <si>
    <t>SIF Funding</t>
  </si>
  <si>
    <t>SIF Funding Return (Disallowed Expenditure only)</t>
  </si>
  <si>
    <t>Allowed SIF adjustment</t>
  </si>
  <si>
    <t>Strategic innovation input for RORE</t>
  </si>
  <si>
    <t xml:space="preserve">Incentives </t>
  </si>
  <si>
    <t>(Actuals may be updated once all incentives are determined)</t>
  </si>
  <si>
    <t>(ONLY APPLIES TO NGGT - SO)</t>
  </si>
  <si>
    <t>NOTE: Section below excludes ORA (i), (ii) and (iii) which have already been included as part of "Innovation"  section above.</t>
  </si>
  <si>
    <t>Incentives per latest PCFM company-specific Input Sheet</t>
  </si>
  <si>
    <t>Reconciliation with Statutory Accounts</t>
  </si>
  <si>
    <t>Forecast new financing/refinancing Net Interest costs</t>
  </si>
  <si>
    <t>Net Interest including forecast new financing/refinancing costs</t>
  </si>
  <si>
    <t>External Net Interest</t>
  </si>
  <si>
    <t>Intra-company Net Interest</t>
  </si>
  <si>
    <t>Memo: Net interest (RIIO-2) Definition that relates to non-cash principal inflation accretion on bonds and loans</t>
  </si>
  <si>
    <t>Less inflation in interest charge</t>
  </si>
  <si>
    <t>Assumed Regulatory finance cost at actual gearing</t>
  </si>
  <si>
    <t>Combined RPI-CPIH real to nominal prices conversion</t>
  </si>
  <si>
    <t>Factor</t>
  </si>
  <si>
    <t>Assumed regulatory finance cost at actual gearing</t>
  </si>
  <si>
    <t>Adjustments to be applied to Assumed Finance cost for performance assessment</t>
  </si>
  <si>
    <t>New/refinanced debt issuance expenses</t>
  </si>
  <si>
    <t>Total Adjustments to be applied for performance assessment (at actual gearing)</t>
  </si>
  <si>
    <t>Cost of Debt out(under)performance at notional gearing</t>
  </si>
  <si>
    <t>Performance against allowance is impacted by deviating from notional levels of gearing</t>
  </si>
  <si>
    <t>Actual Gearing</t>
  </si>
  <si>
    <t xml:space="preserve">based on actual debt tab based on </t>
  </si>
  <si>
    <t>Adjustment to regulatory finance cost relating to variance from notional gearing</t>
  </si>
  <si>
    <t>Assumed regulatory finance cost at notional gearing</t>
  </si>
  <si>
    <t>Adjustments to be applied for performance assessment (at notional gearing)</t>
  </si>
  <si>
    <t>Cost of Debt Allowance</t>
  </si>
  <si>
    <t xml:space="preserve">The latest PCFM contains the allowed cost of debt rate (%) for the reporting year. </t>
  </si>
  <si>
    <t>Cost of Debt Allowance as per latest published PCFM (prior year AIP)</t>
  </si>
  <si>
    <t>Out(under) performance</t>
  </si>
  <si>
    <t>Pre-Tax performance</t>
  </si>
  <si>
    <t>Pre-Tax Cost of Debt out(under)performance at actual gearing</t>
  </si>
  <si>
    <t>Pre-Tax Cost of Debt out(under)performance at notional gearing</t>
  </si>
  <si>
    <t>Pre-Tax Impact on out(under) performance relating to deviating from notional levels of gearing</t>
  </si>
  <si>
    <t>£m</t>
  </si>
  <si>
    <t>Other adjustments</t>
  </si>
  <si>
    <t>Transmission or distribution allocation</t>
  </si>
  <si>
    <t>Opening Cash, short term deposits and overdrafts (per Balance Sheet)</t>
  </si>
  <si>
    <t>Closing Cash, short term deposits and overdrafts (per Balance Sheet)</t>
  </si>
  <si>
    <t>External borrowings, bonds, external loans and finance leases (+ve)</t>
  </si>
  <si>
    <t>Loans from other group companies (+ve)</t>
  </si>
  <si>
    <t>Loans to other group companies (-ve)</t>
  </si>
  <si>
    <t>Other amounts due to/(from) group companies per Balance Sheet</t>
  </si>
  <si>
    <t>Guarantees given on behalf of other group companies (per Notes to the Accounts) (+ve)</t>
  </si>
  <si>
    <t>Currency SWAPS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</si>
  <si>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</si>
  <si>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</si>
  <si>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</si>
  <si>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</si>
  <si>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</si>
  <si>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</si>
  <si>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Total Debt per Statutory Accounts</t>
  </si>
  <si>
    <t>Conversion to Regulatory (RIIO-2) Definition of Net Debt</t>
  </si>
  <si>
    <t>Total Net Debt per Regulatory (RIIO-2) definition</t>
  </si>
  <si>
    <t>Forecast new debt/refinancing</t>
  </si>
  <si>
    <t>Regulatory Net Debt including forecast new debt/refinancing</t>
  </si>
  <si>
    <t>Opening Regulatory Net Debt including forecast new debt/refinancing</t>
  </si>
  <si>
    <t>Closing Regulatory Net Debt including forecast new debt/refinancing</t>
  </si>
  <si>
    <t>Allocation of net debt (Per regulatory definition. Transmission companies only)</t>
  </si>
  <si>
    <t>Gas system operator allocation (transmission companies only)</t>
  </si>
  <si>
    <t>Average Net Debt (per Regulatory Definition)</t>
  </si>
  <si>
    <t>Equity RAV</t>
  </si>
  <si>
    <t>Average RAV</t>
  </si>
  <si>
    <t>Actual Regulatory Gearing</t>
  </si>
  <si>
    <t>Gearing Ratio delta</t>
  </si>
  <si>
    <t>NPV Neutral assumed Average Net Debt</t>
  </si>
  <si>
    <t>NPV Neutral assumed Equity RAV</t>
  </si>
  <si>
    <t>NPV Neutral assumed Average RAV</t>
  </si>
  <si>
    <t>Accrued Interest</t>
  </si>
  <si>
    <t>Unamortised Issue Costs</t>
  </si>
  <si>
    <t>Fixed asset investments not readily convertible to cash</t>
  </si>
  <si>
    <t>Preference shares</t>
  </si>
  <si>
    <t>Long term loans (Not for benefit of regulated business or distribution in nature)</t>
  </si>
  <si>
    <t>Currency debt amount to reflect ultimate sterling liability</t>
  </si>
  <si>
    <t>Impact of fair value adjustments</t>
  </si>
  <si>
    <t>ILS financial exposure; direct offset with row 180 (no net impact on regulatory net debt)</t>
  </si>
  <si>
    <t>ILS financial exposure; balances relate to accretions</t>
  </si>
  <si>
    <t>IFRS 16 Lease Liabilities</t>
  </si>
  <si>
    <t>Net debt relating to other thrNW networks</t>
  </si>
  <si>
    <t>R7 - Regulatory Asset Value (RAV)</t>
  </si>
  <si>
    <t>RAV per latest PCFM</t>
  </si>
  <si>
    <r>
      <t xml:space="preserve">Closing RAV </t>
    </r>
    <r>
      <rPr>
        <sz val="10"/>
        <rFont val="Verdana"/>
        <family val="2"/>
      </rPr>
      <t xml:space="preserve">per latest PCFM </t>
    </r>
  </si>
  <si>
    <t>Opening RAV (before transfers)</t>
  </si>
  <si>
    <t>Transfers</t>
  </si>
  <si>
    <t>Opening RAV (after transfers)</t>
  </si>
  <si>
    <t>Net additions (after disposals)</t>
  </si>
  <si>
    <t>Net additions (after disposals) - enduring value adjustment</t>
  </si>
  <si>
    <t>Total Net Additions</t>
  </si>
  <si>
    <t>Depreciation</t>
  </si>
  <si>
    <t>Depreciation - enduring value adjustment</t>
  </si>
  <si>
    <t>Total Depreciation</t>
  </si>
  <si>
    <t>Adjusted Closing RAV</t>
  </si>
  <si>
    <t>Total enduring value and other adjustments</t>
  </si>
  <si>
    <t>CHECK</t>
  </si>
  <si>
    <t>Index for Opening RAV conversion to nominal in yr 1</t>
  </si>
  <si>
    <t>Index</t>
  </si>
  <si>
    <t>Cost of debt</t>
  </si>
  <si>
    <t>annual real %</t>
  </si>
  <si>
    <t>Cost of equity</t>
  </si>
  <si>
    <t>Notional gearing</t>
  </si>
  <si>
    <t>Vanilla WACC</t>
  </si>
  <si>
    <t>NPV-neutral debt element of RAV</t>
  </si>
  <si>
    <t>NPV-neutral equity element of RAV</t>
  </si>
  <si>
    <t>NPV-neutral RAV return base</t>
  </si>
  <si>
    <t>Debt Return on RAV</t>
  </si>
  <si>
    <t>Equity Return on RAV</t>
  </si>
  <si>
    <t>Total return on RAV</t>
  </si>
  <si>
    <t>The CT600 will not have been submitted for the current reporting year.</t>
  </si>
  <si>
    <t>It is assumed the current tax charge per the statutory accounts will equal the tax liability in the forthcoming CT600, where this is not the case the licensee should provide an explanation in the commentary of the variance.</t>
  </si>
  <si>
    <t>Tax liability per latest submitted CT600 (pre-group relief)</t>
  </si>
  <si>
    <t>must match with worksheet R8a</t>
  </si>
  <si>
    <t>Adjustments to remove non-regulated tax liability</t>
  </si>
  <si>
    <t>Tax on non-regulated activities</t>
  </si>
  <si>
    <t>De-minimus and Other activities</t>
  </si>
  <si>
    <t>Excluded services</t>
  </si>
  <si>
    <t>Non-regulated tax</t>
  </si>
  <si>
    <t>Tax on Other Revenue Allowances - Innovation and Incentives only</t>
  </si>
  <si>
    <t>Collected revenue adjustment ('k')</t>
  </si>
  <si>
    <t>Pension - timing adjustment</t>
  </si>
  <si>
    <t>Pension - disallowed contributions</t>
  </si>
  <si>
    <t>Tax on derivatives not disregarded</t>
  </si>
  <si>
    <t>[Insert adjustment as necessary]</t>
  </si>
  <si>
    <t>[Insert new rows here as necessary]</t>
  </si>
  <si>
    <t>Forecast regulated tax liability (including impact of any enduring value adjustments)</t>
  </si>
  <si>
    <t>Adjusted regulated tax liability</t>
  </si>
  <si>
    <t xml:space="preserve">Adjusted/forecast regulated tax liability </t>
  </si>
  <si>
    <t>Tax out(under)performance at notional gearing</t>
  </si>
  <si>
    <t>Adjustment to regulatory tax cost relating to variance from notional gearing</t>
  </si>
  <si>
    <t>Revised regulated tax liability for comparison against allowance</t>
  </si>
  <si>
    <t>Allowance</t>
  </si>
  <si>
    <t>Tax Allowance per latest PCFM</t>
  </si>
  <si>
    <t>Regulated tax out(under) performance at actual gearing</t>
  </si>
  <si>
    <t>Regulated tax out(under) performance at notional gearing</t>
  </si>
  <si>
    <t>Impact on out(under) performance relating to deviating from notional levels of gearing</t>
  </si>
  <si>
    <t>Tax impact of financing performance (at actual gearing)</t>
  </si>
  <si>
    <t>changed to calculation</t>
  </si>
  <si>
    <t>Tax impact of financing performance (at notional gearing)</t>
  </si>
  <si>
    <t>Tax impact of financing performance relating to deviating from notional levels of gearing</t>
  </si>
  <si>
    <t xml:space="preserve">R08a - Tax Reconciliation for RIIO-2 </t>
  </si>
  <si>
    <t>Company name</t>
  </si>
  <si>
    <t>Accounting year end</t>
  </si>
  <si>
    <r>
      <rPr>
        <b/>
        <sz val="9"/>
        <color theme="1"/>
        <rFont val="Verdana"/>
        <family val="2"/>
      </rPr>
      <t>Note:</t>
    </r>
    <r>
      <rPr>
        <sz val="9"/>
        <color theme="1"/>
        <rFont val="Verdana"/>
        <family val="2"/>
      </rPr>
      <t xml:space="preserve"> due to the timing of the CT600 submissions to HMRC, this sheet is to be reported with a one-year lag (i.e. inputs will relate to the previous reporting period).</t>
    </r>
  </si>
  <si>
    <t>Description of Tax Reconciliation Items</t>
  </si>
  <si>
    <t>Price base</t>
  </si>
  <si>
    <t>CT600/ CT computation filed with HMRC (Original Filing)</t>
  </si>
  <si>
    <t>CT600/ CT computation filed with HMRC (Re-filed)</t>
  </si>
  <si>
    <t>PCFM Reference</t>
  </si>
  <si>
    <t xml:space="preserve">PCFM 
Calculated Tax Allowance (Net)
</t>
  </si>
  <si>
    <t xml:space="preserve">PCFM 
Calculated Tax Allowance (Gross)
</t>
  </si>
  <si>
    <t>Difference  
PCFM vs CT600</t>
  </si>
  <si>
    <t>Explanation of difference / Comments</t>
  </si>
  <si>
    <t>Enter CT600 Filing Dates (DD/MM/YYYY):</t>
  </si>
  <si>
    <t>Rate of Tax Applied</t>
  </si>
  <si>
    <t xml:space="preserve"> - Turnover per PLs v Calculated Revenue per PCFM (must match value in row 58 of R2)</t>
  </si>
  <si>
    <t>Nominal</t>
  </si>
  <si>
    <t xml:space="preserve"> - Revenue Tax Pool additions</t>
  </si>
  <si>
    <t xml:space="preserve"> - Adjustment #1 </t>
  </si>
  <si>
    <t xml:space="preserve"> - Adjustment #2 </t>
  </si>
  <si>
    <t xml:space="preserve"> - Adjustment #3</t>
  </si>
  <si>
    <t xml:space="preserve"> - Operating expenses (excluding depreciation and amortisation)</t>
  </si>
  <si>
    <t>EBITDA</t>
  </si>
  <si>
    <t xml:space="preserve"> - Less net interest per P/L /  paid (interest coupon)</t>
  </si>
  <si>
    <t xml:space="preserve"> - Less net interest per P/L / paid (inflation coupon)</t>
  </si>
  <si>
    <t xml:space="preserve"> - Income from Fixed Asset Investments per financial statements</t>
  </si>
  <si>
    <t xml:space="preserve"> - Profit/ (Loss) on disposal of Fixed Assets per financial statements</t>
  </si>
  <si>
    <t xml:space="preserve"> - Depreciation </t>
  </si>
  <si>
    <t xml:space="preserve"> - Amortisation</t>
  </si>
  <si>
    <t>Profit/ (Loss) before taxation per accounts</t>
  </si>
  <si>
    <t xml:space="preserve">Tax Base (before Capital Allowances) </t>
  </si>
  <si>
    <t>REGULATORY ADJUSTMENTS</t>
  </si>
  <si>
    <t>Non regulated activity - adjustments for non regulatory turnover</t>
  </si>
  <si>
    <t xml:space="preserve"> - [insert rows as required]</t>
  </si>
  <si>
    <t>Non regulated activity - adjustments for turnover cost recoveries</t>
  </si>
  <si>
    <t>Non regulated activity - adjustments for turnover timing adjustments</t>
  </si>
  <si>
    <t>Adjusted profit/ (loss) after Regulatory Adjustments</t>
  </si>
  <si>
    <t>TAX ADJUSTMENTS</t>
  </si>
  <si>
    <t>Disallowables/ Allowables and similar items</t>
  </si>
  <si>
    <t xml:space="preserve"> - Provisions adjustments</t>
  </si>
  <si>
    <t xml:space="preserve"> - Pensions adjustments</t>
  </si>
  <si>
    <t xml:space="preserve"> - Depreciation</t>
  </si>
  <si>
    <t xml:space="preserve"> - Other disallowable items</t>
  </si>
  <si>
    <t xml:space="preserve"> - Statutory pension adjustments for corporation tax purposes</t>
  </si>
  <si>
    <t xml:space="preserve"> - Deferred revenue expenditure</t>
  </si>
  <si>
    <t xml:space="preserve"> - Capitalised revenue expenditure</t>
  </si>
  <si>
    <t xml:space="preserve"> - Capitalised revenue expenditure allowed on accounts basis</t>
  </si>
  <si>
    <t xml:space="preserve"> - Capital allowances - expensed proceeds</t>
  </si>
  <si>
    <t xml:space="preserve"> - Transfer pricing adjustments</t>
  </si>
  <si>
    <t xml:space="preserve"> - Profit/ (loss) on disposal of fixed assets</t>
  </si>
  <si>
    <t>Capital Allowances</t>
  </si>
  <si>
    <t xml:space="preserve"> - General pool</t>
  </si>
  <si>
    <t xml:space="preserve"> - Special Rate pool</t>
  </si>
  <si>
    <t xml:space="preserve"> - Structures and Buildings pool</t>
  </si>
  <si>
    <t xml:space="preserve"> - Short Life Assets</t>
  </si>
  <si>
    <t xml:space="preserve"> - Intangible Assets</t>
  </si>
  <si>
    <t xml:space="preserve"> - R&amp;D Allowances</t>
  </si>
  <si>
    <t xml:space="preserve"> Interest Adjustments</t>
  </si>
  <si>
    <t xml:space="preserve"> - Corporate Interest Restriction adjustment</t>
  </si>
  <si>
    <t xml:space="preserve"> - Derivatives adjustment</t>
  </si>
  <si>
    <t xml:space="preserve"> - Non-trade loan relationship debits per accounts</t>
  </si>
  <si>
    <t xml:space="preserve"> - Trade loan relationships debits tax adjustment (interest allowed when paid)</t>
  </si>
  <si>
    <t xml:space="preserve"> - Non-trade loan relationship credits per accounts</t>
  </si>
  <si>
    <t xml:space="preserve"> - Non-trade loan relationship credits</t>
  </si>
  <si>
    <t>Taxable Profit before Tax Loss Adjustments</t>
  </si>
  <si>
    <t>Profits attributable to Corporation Tax (before tax clawback)</t>
  </si>
  <si>
    <t>TAX LOSS ADJUSTMENTS</t>
  </si>
  <si>
    <t>Regulatory Tax Losses</t>
  </si>
  <si>
    <t xml:space="preserve"> - Taxable losses brought forward</t>
  </si>
  <si>
    <t xml:space="preserve"> - In-year taxable loss</t>
  </si>
  <si>
    <t xml:space="preserve"> - Contributions to losses from clawback</t>
  </si>
  <si>
    <t xml:space="preserve"> - Adjustment to losses from tax trigger</t>
  </si>
  <si>
    <t xml:space="preserve"> - Profits used to offset outstanding losses (excluded from corporation tax)</t>
  </si>
  <si>
    <t xml:space="preserve"> - [Insert Further Adjustments as necessary]</t>
  </si>
  <si>
    <t>Profits Chargeable to Corporation Tax (i.e. after Tax Loss Adjustments)('PCTCT')</t>
  </si>
  <si>
    <t>Profits attributable to Corporation Tax after tax losses</t>
  </si>
  <si>
    <t>Corporation Tax due on PCTCT</t>
  </si>
  <si>
    <t>Corporation tax charge after losses</t>
  </si>
  <si>
    <t>Financial Year Ave RPI-CPIH</t>
  </si>
  <si>
    <t>From RFPR 'Data' Cell E26</t>
  </si>
  <si>
    <t xml:space="preserve">Actual Corporation Tax Liability </t>
  </si>
  <si>
    <t>Calculated Tax Allowance (adjusted)</t>
  </si>
  <si>
    <t>Dividends Reconciliation - Regulated Business to Accounts</t>
  </si>
  <si>
    <t>Dividend paid as per Statutory Accounts</t>
  </si>
  <si>
    <t>Less dividend paid not related to Regulated business</t>
  </si>
  <si>
    <t>Dividend paid relating to the Regulated Business</t>
  </si>
  <si>
    <t>Shareholder loan interest (not included as Net Interest per Regulatory (RIIO-2) definition)</t>
  </si>
  <si>
    <t xml:space="preserve">Executive Directors* Remuneration </t>
  </si>
  <si>
    <t>Director 1</t>
  </si>
  <si>
    <t>Director 2</t>
  </si>
  <si>
    <t>Director 3</t>
  </si>
  <si>
    <t>Director 4</t>
  </si>
  <si>
    <t>Director 5</t>
  </si>
  <si>
    <t>Name of Director</t>
  </si>
  <si>
    <t>Steven Richard Fraser</t>
  </si>
  <si>
    <t>Anthony Oliver Bickerstaff</t>
  </si>
  <si>
    <t>Howard Neil Forster</t>
  </si>
  <si>
    <t>Stephen Glynn Hurrell</t>
  </si>
  <si>
    <t>Fixed Pay</t>
  </si>
  <si>
    <t>Salary</t>
  </si>
  <si>
    <t>Bonus</t>
  </si>
  <si>
    <t>Benefits</t>
  </si>
  <si>
    <t>Pension</t>
  </si>
  <si>
    <t>Total Fixed Pay</t>
  </si>
  <si>
    <t>Allocation to Regulated Business</t>
  </si>
  <si>
    <t>Variable Pay</t>
  </si>
  <si>
    <t>Incentives</t>
  </si>
  <si>
    <t>Performance related Pay</t>
  </si>
  <si>
    <t>Total Variable Pay</t>
  </si>
  <si>
    <t>Total Pay</t>
  </si>
  <si>
    <t>Total Pay related to Regulated Business</t>
  </si>
  <si>
    <t>Shares** / Options</t>
  </si>
  <si>
    <t>Share ownership/ awards</t>
  </si>
  <si>
    <t>No. of Shares</t>
  </si>
  <si>
    <t>% Discount on shares purchased</t>
  </si>
  <si>
    <t>% of shares held compared to total authorised shares</t>
  </si>
  <si>
    <t>Value of total shares</t>
  </si>
  <si>
    <t>No.of Options held</t>
  </si>
  <si>
    <t xml:space="preserve">No. </t>
  </si>
  <si>
    <t>Exercise price</t>
  </si>
  <si>
    <t>£</t>
  </si>
  <si>
    <t>No. of options exercised</t>
  </si>
  <si>
    <t>Value of Options exercised</t>
  </si>
  <si>
    <t>Dividends paid</t>
  </si>
  <si>
    <t>Total Shares, Options and Dividends</t>
  </si>
  <si>
    <t>Total Remuneration</t>
  </si>
  <si>
    <t>Total Remuneration related to Regulated Business</t>
  </si>
  <si>
    <t>Pay Ratios - CEO's total remuneration to company's UK employees remuneration</t>
  </si>
  <si>
    <t xml:space="preserve">25th percentile </t>
  </si>
  <si>
    <t xml:space="preserve">50th percentile </t>
  </si>
  <si>
    <t xml:space="preserve">75th percentile </t>
  </si>
  <si>
    <t>*meaning executive board directors</t>
  </si>
  <si>
    <t xml:space="preserve">** in addition to shares under Variable Pay </t>
  </si>
  <si>
    <t>Supporting Comments</t>
  </si>
  <si>
    <t>Stephen Glynn Hurrell resigned as Director on 23 December 2021</t>
  </si>
  <si>
    <t>R10 - Pensions &amp; Other Activities</t>
  </si>
  <si>
    <t>Pensions</t>
  </si>
  <si>
    <t>Licensee share of total pension deficit repair payment made for defined benefit scheme</t>
  </si>
  <si>
    <t>Of which:</t>
  </si>
  <si>
    <t>Established deficit element funded via specific allowances</t>
  </si>
  <si>
    <t>Incremental deficit funded via totex</t>
  </si>
  <si>
    <t>Established deficit (EDE) allowance as per latest PCFM</t>
  </si>
  <si>
    <t>Less Pension Payment History Allowance (PPH)</t>
  </si>
  <si>
    <t>Established deficit allowance less PPH</t>
  </si>
  <si>
    <t>Enter valuation date</t>
  </si>
  <si>
    <t>Latest pension scheme valuation</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</si>
  <si>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</si>
  <si>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</si>
  <si>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</si>
  <si>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</si>
  <si>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post Cut-Off Date Notional Sub-Fund</t>
  </si>
  <si>
    <t>Deficit in the pre Cut-Off Date Notional Sub-Fund</t>
  </si>
  <si>
    <t>Licensee element of established deficit</t>
  </si>
  <si>
    <t>Licensee element of incremental deficit</t>
  </si>
  <si>
    <t>Other Activities</t>
  </si>
  <si>
    <t>Post-tax total fines and penalties (including GS payments)</t>
  </si>
  <si>
    <t>Ofgem related fines and penalties</t>
  </si>
  <si>
    <t>[Insert detail of fine or penalty]</t>
  </si>
  <si>
    <t>Total Ofgem related fines and penalties</t>
  </si>
  <si>
    <t>Any adjustment for tax</t>
  </si>
  <si>
    <t>Post-tax total fines and penalties</t>
  </si>
  <si>
    <t>Guaranteed Standard (GS) payments</t>
  </si>
  <si>
    <t>Total GS payments</t>
  </si>
  <si>
    <t>Post-tax total GS payments</t>
  </si>
  <si>
    <t>data</t>
  </si>
  <si>
    <t>updated inflation information as per July '22 PCFM</t>
  </si>
  <si>
    <t>R2</t>
  </si>
  <si>
    <t>For the bottom part of the DT the reconciliation has been performed on an overall Cadent group level as opposed to indivudal networks</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</si>
  <si>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</si>
  <si>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</si>
  <si>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</si>
  <si>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</si>
  <si>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</si>
  <si>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</si>
  <si>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</si>
  <si>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</si>
  <si>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Less: Capitalised Interest</t>
  </si>
  <si>
    <t>Less: Unwind of discount</t>
  </si>
  <si>
    <t>Less: Term Debt / Letter of Credit / RCF Fees</t>
  </si>
  <si>
    <t xml:space="preserve">losses/(gains) on derivative financial instruments </t>
  </si>
  <si>
    <t>Less: Commitment Commission and other</t>
  </si>
  <si>
    <t>Economic cost of changing capital structure in FY16/17</t>
  </si>
  <si>
    <t>Less finance costs relating to other three networks</t>
  </si>
  <si>
    <t>Other Adjustments [please specify]</t>
  </si>
  <si>
    <t>Add back Debt Issuance expenses</t>
  </si>
  <si>
    <t>Costs of early redemption on long term debt (excluding exceptional costs of buy backs associated with M&amp;A activity)</t>
  </si>
  <si>
    <t>Add accrual for inflation accretion on index-linked swaps (if applicable)</t>
  </si>
  <si>
    <t>Net Interest Per Statutory Accounts</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</si>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</sst>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1">
    <numFmt numFmtId="164" formatCode="&quot;$&quot;#,##0_);[Red]\(&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0_-;\-* #,##0.0_-;_-* &quot;-&quot;??_-;_-@_-"/>
    <numFmt numFmtId="171" formatCode="_-* #,##0.00\ _D_M_-;\-* #,##0.00\ _D_M_-;_-* &quot;-&quot;??\ _D_M_-;_-@_-"/>
    <numFmt numFmtId="172" formatCode="#,##0.00;[Red]\-#,##0.00;\-"/>
    <numFmt numFmtId="173" formatCode="#,##0.0_);\(#,##0.0\);\-_)"/>
    <numFmt numFmtId="174" formatCode="#,##0.0;[Red]\-#,##0.0;\-"/>
    <numFmt numFmtId="175" formatCode="0.0%"/>
    <numFmt numFmtId="176" formatCode="#,##0.0;[Red]\(#,##0.0\)"/>
    <numFmt numFmtId="177" formatCode="_(* #,##0.0_);_(* \(#,##0.0\);_(* &quot;-&quot;??_);_(@_)"/>
    <numFmt numFmtId="178" formatCode="0.0"/>
    <numFmt numFmtId="179" formatCode="[$-809]d\ mmmm\ yyyy;@"/>
    <numFmt numFmtId="180" formatCode="dd/mm/yyyy;@"/>
    <numFmt numFmtId="181" formatCode="_-* #,##0.000_-;\-* #,##0.000_-;_-* &quot;-&quot;??_-;_-@_-"/>
    <numFmt numFmtId="182" formatCode="_-* #,##0.0000_-;\-* #,##0.0000_-;_-* &quot;-&quot;??_-;_-@_-"/>
    <numFmt numFmtId="183" formatCode="0.000"/>
    <numFmt numFmtId="184" formatCode="#,##0.000"/>
    <numFmt numFmtId="185" formatCode="[$$-409]#,##0.00"/>
    <numFmt numFmtId="186" formatCode="#,##0.0\ ;\(#,##0.0\)"/>
    <numFmt numFmtId="187" formatCode="#,##0_);[Red]\(#,##0\);&quot;-&quot;"/>
    <numFmt numFmtId="188" formatCode="mmmm\ d\,\ yyyy"/>
    <numFmt numFmtId="189" formatCode="_(&quot;$&quot;#,##0_)&quot;millions&quot;;\(&quot;$&quot;#,##0\)&quot; millions&quot;"/>
    <numFmt numFmtId="190" formatCode="&quot;$&quot;#,##0.00_)\ \ \ ;\(&quot;$&quot;#,##0.00\)\ \ \ "/>
    <numFmt numFmtId="191" formatCode="&quot;$&quot;#,##0.00&quot;*&quot;\ \ ;\(&quot;$&quot;#,##0.00\)&quot;*&quot;\ \ "/>
    <numFmt numFmtId="192" formatCode="&quot;$&quot;#,##0.00\A_)\ ;\(&quot;$&quot;#,##0.00\A\)\ \ "/>
    <numFmt numFmtId="193" formatCode="&quot;$&quot;@\ "/>
    <numFmt numFmtId="194" formatCode="_-[$€-2]* #,##0.00_-;\-[$€-2]* #,##0.00_-;_-[$€-2]* &quot;-&quot;??_-"/>
    <numFmt numFmtId="195" formatCode="000\-00\-0000\ "/>
    <numFmt numFmtId="196" formatCode="_(* #,##0_);_(* \(#,##0\);_(* &quot;0&quot;_);_(@_)"/>
    <numFmt numFmtId="197" formatCode="#,##0.0_);\(#,##0.0\)"/>
    <numFmt numFmtId="198" formatCode="&quot;$&quot;_(#,##0.00_);&quot;$&quot;\(#,##0.00\)"/>
    <numFmt numFmtId="199" formatCode="_-&quot;$&quot;* #,##0.0_-;\-&quot;$&quot;* #,##0.0_-;_-&quot;$&quot;* &quot;-&quot;??_-;_-@_-"/>
    <numFmt numFmtId="200" formatCode="#,##0_);\(#,##0\);&quot;-  &quot;;&quot; &quot;@&quot; &quot;"/>
    <numFmt numFmtId="201" formatCode="#,##0.0_)\x;\(#,##0.0\)\x"/>
    <numFmt numFmtId="202" formatCode="&quot;$&quot;#,##0"/>
    <numFmt numFmtId="203" formatCode="#,##0.0_)_x;\(#,##0.0\)_x"/>
    <numFmt numFmtId="204" formatCode="_(&quot;$&quot;* #,##0_);_(&quot;$&quot;* \(#,##0\);_(&quot;$&quot;* &quot;-&quot;??_);_(@_)"/>
    <numFmt numFmtId="205" formatCode="0.0_)\%;\(0.0\)\%"/>
    <numFmt numFmtId="206" formatCode="#,##0.0_)_%;\(#,##0.0\)_%"/>
    <numFmt numFmtId="207" formatCode="_(&quot;$&quot;* #,##0.0_);_(&quot;$&quot;* \(#,##0.0\);_(&quot;$&quot;* &quot;-&quot;?_);_(@_)"/>
    <numFmt numFmtId="208" formatCode="#,##0.0_);[Red]\(#,##0.0\)"/>
    <numFmt numFmtId="209" formatCode="_-&quot;£&quot;* #,##0.0_-;_-&quot;£&quot;* \(#,##0.0\)"/>
    <numFmt numFmtId="210" formatCode="\£\ #,##0_);[Red]\(\£\ #,##0\)"/>
    <numFmt numFmtId="211" formatCode="#,##0.00;[Red]\(#,##0.00\);\-"/>
    <numFmt numFmtId="212" formatCode="\¥\ #,##0_);[Red]\(\¥\ #,##0\)"/>
    <numFmt numFmtId="213" formatCode="_-\€* #,##0.0_-;_-\€* \(#,##0.0\)"/>
    <numFmt numFmtId="214" formatCode="#,##0;\(#,##0\)"/>
    <numFmt numFmtId="215" formatCode="0;[Red]\(0\);\-"/>
    <numFmt numFmtId="216" formatCode="#,##0;[Red]\(#,##0\);\-"/>
    <numFmt numFmtId="217" formatCode="#,##0,_);[Red]\(#,##0,\)"/>
    <numFmt numFmtId="218" formatCode="0.0;\(0.0\);\-"/>
    <numFmt numFmtId="219" formatCode="0.00;\(0.00\);\-"/>
    <numFmt numFmtId="220" formatCode="0.00;[Red]\(0.00\);\-"/>
    <numFmt numFmtId="221" formatCode="0.000;\(0.000\);\-"/>
    <numFmt numFmtId="222" formatCode="0\A"/>
    <numFmt numFmtId="223" formatCode="m\-d\-yy"/>
    <numFmt numFmtId="224" formatCode="0.0_)"/>
    <numFmt numFmtId="225" formatCode="_ &quot;R&quot;\ * #,##0_ ;_ &quot;R&quot;\ * \-#,##0_ ;_ &quot;R&quot;\ * &quot;-&quot;_ ;_ @_ "/>
    <numFmt numFmtId="226" formatCode="0.00\ "/>
    <numFmt numFmtId="227" formatCode="#,##0.0,,,&quot;bn&quot;"/>
    <numFmt numFmtId="228" formatCode="0.0%_);[Red]\(0.0%\)"/>
    <numFmt numFmtId="229" formatCode="0.0%;\(0.0\)%"/>
    <numFmt numFmtId="230" formatCode="0&quot; bp&quot;"/>
    <numFmt numFmtId="231" formatCode="_(* #,##0.0_);_(* \(#,##0.0\);_(* &quot;-&quot;?_);@_)"/>
    <numFmt numFmtId="232" formatCode="\•\ \ @"/>
    <numFmt numFmtId="233" formatCode="#,##0_);[Red]\(#,##0\);&quot;-&quot;_);[Blue]&quot;Error-&quot;@"/>
    <numFmt numFmtId="234" formatCode="#,##0.0_);[Red]\(#,##0.0\);&quot;-&quot;_);[Blue]&quot;Error-&quot;@"/>
    <numFmt numFmtId="235" formatCode="#,##0.00_);[Red]\(#,##0.00\);&quot;-&quot;_);[Blue]&quot;Error-&quot;@"/>
    <numFmt numFmtId="236" formatCode="&quot;£&quot;* #,##0_);[Red]&quot;£&quot;* \(#,##0\);&quot;£&quot;* &quot;-&quot;_);[Blue]&quot;Error-&quot;@"/>
    <numFmt numFmtId="237" formatCode="&quot;£&quot;* #,##0.0_);[Red]&quot;£&quot;* \(#,##0.0\);&quot;£&quot;* &quot;-&quot;_);[Blue]&quot;Error-&quot;@"/>
    <numFmt numFmtId="238" formatCode="&quot;£&quot;* #,##0.00_);[Red]&quot;£&quot;* \(#,##0.00\);&quot;£&quot;* &quot;-&quot;_);[Blue]&quot;Error-&quot;@"/>
    <numFmt numFmtId="239" formatCode="dd\ mmm\ yyyy_)"/>
    <numFmt numFmtId="240" formatCode="dd/mm/yy_)"/>
    <numFmt numFmtId="241" formatCode="0%_);[Red]\-0%_);0%_);[Blue]&quot;Error-&quot;@"/>
    <numFmt numFmtId="242" formatCode="0.0%_);[Red]\-0.0%_);0.0%_);[Blue]&quot;Error-&quot;@"/>
    <numFmt numFmtId="243" formatCode="0.00%_);[Red]\-0.00%_);0.00%_);[Blue]&quot;Error-&quot;@"/>
    <numFmt numFmtId="244" formatCode="_-* #,##0_-;* \(#,##0\)_-;_-@_-"/>
    <numFmt numFmtId="245" formatCode="0.000_)"/>
    <numFmt numFmtId="246" formatCode="#,##0.000;[Red]\(#,##0.000\);\-"/>
    <numFmt numFmtId="247" formatCode="#,##0_%_);\(#,##0\)_%;**;@_%_)"/>
    <numFmt numFmtId="248" formatCode="#,##0.000_ ;\-#,##0.000\ "/>
    <numFmt numFmtId="249" formatCode="\$#,##0.0,,,&quot;bn&quot;"/>
    <numFmt numFmtId="250" formatCode="0.0_x_)_);&quot;NM&quot;_x_)_);0.0_x_)_);@_%_)"/>
    <numFmt numFmtId="251" formatCode="0.0\ \x;\(0.0\ \x\)"/>
    <numFmt numFmtId="252" formatCode="0.0_ ;\(0.0\)_ \ "/>
    <numFmt numFmtId="253" formatCode="#,##0.0_);\(#,##0.0\);&quot;--&quot;_)"/>
    <numFmt numFmtId="254" formatCode="#,##0.00_);\(#,##0.00\);&quot;--&quot;_)"/>
    <numFmt numFmtId="255" formatCode="General_)"/>
    <numFmt numFmtId="256" formatCode="#,##0.0"/>
    <numFmt numFmtId="257" formatCode="_(&quot;£&quot;* #,##0.00_);_(&quot;£&quot;* \(#,##0.00\);_(&quot;£&quot;* &quot;-&quot;??_);_(@_)"/>
    <numFmt numFmtId="258" formatCode="m/d"/>
    <numFmt numFmtId="259" formatCode="0.0\ \ \x\ ;\(0.0\)\ \ \x\ "/>
    <numFmt numFmtId="260" formatCode="@\ \ \ \ \ "/>
    <numFmt numFmtId="261" formatCode="\ \ _•\–\ \ \ \ @"/>
    <numFmt numFmtId="262" formatCode="000"/>
    <numFmt numFmtId="263" formatCode="#,##0.00;[Red]\(#,##0.00\)"/>
    <numFmt numFmtId="264" formatCode="d\-mmm\-yyyy"/>
    <numFmt numFmtId="265" formatCode="&quot;$&quot;#,##0.0;[Red]&quot;$&quot;#,##0.0"/>
    <numFmt numFmtId="266" formatCode="dd/mmm/yyyy_);;&quot;-  &quot;;&quot; &quot;@"/>
    <numFmt numFmtId="267" formatCode="dd/mmm/yyyy_);;&quot;-  &quot;;&quot; &quot;@&quot; &quot;"/>
    <numFmt numFmtId="268" formatCode="dd/mmm/yy_);;&quot;-  &quot;;&quot; &quot;@"/>
    <numFmt numFmtId="269" formatCode="dd/mmm/yy_);;&quot;-  &quot;;&quot; &quot;@&quot; &quot;"/>
    <numFmt numFmtId="270" formatCode="0.00,,;[Red]\(0.00,,\);\-"/>
    <numFmt numFmtId="271" formatCode="_(* #,##0_);_(* \(#,##0\);_(* &quot;&quot;\ \-\ &quot;&quot;_);_(@_)"/>
    <numFmt numFmtId="272" formatCode="_-* #,##0\ _D_M_-;\-* #,##0\ _D_M_-;_-* &quot;-&quot;\ _D_M_-;_-@_-"/>
    <numFmt numFmtId="273" formatCode="#,##0.00_)\ \ \ \ \ ;\(#,##0.00\)\ \ \ \ \ "/>
    <numFmt numFmtId="274" formatCode="&quot;$&quot;#,##0.00_)\ \ \ \ \ ;\(&quot;$&quot;#,##0.00\)\ \ \ \ \ "/>
    <numFmt numFmtId="275" formatCode="&quot;$&quot;#,##0.00\A\ \ \ \ ;\(&quot;$&quot;#,##0.00\A\)\ \ \ \ "/>
    <numFmt numFmtId="276" formatCode="&quot;$&quot;#,##0.00&quot;E&quot;\ \ \ \ ;\(&quot;$&quot;#,##0.00&quot;E&quot;\)\ \ \ \ "/>
    <numFmt numFmtId="277" formatCode="#,##0.00\A\ \ \ \ ;\(#,##0.00\A\)\ \ \ \ "/>
    <numFmt numFmtId="278" formatCode="#,##0.00&quot;E&quot;\ \ \ \ ;\(#,##0.00&quot;E&quot;\)\ \ \ \ "/>
    <numFmt numFmtId="279" formatCode="\€#,##0.0,,,&quot;bn&quot;"/>
    <numFmt numFmtId="280" formatCode="\€#,##0.0,,&quot;m&quot;"/>
    <numFmt numFmtId="281" formatCode="\€#,##0.0,&quot;k&quot;"/>
    <numFmt numFmtId="282" formatCode="[Magenta]&quot;Err&quot;;[Magenta]&quot;Err&quot;;[Blue]&quot;OK&quot;"/>
    <numFmt numFmtId="283" formatCode="[Blue]&quot;,&quot;;;[Red]&quot;/&quot;"/>
    <numFmt numFmtId="284" formatCode="General\ &quot;.&quot;"/>
    <numFmt numFmtId="285" formatCode="#,##0_);[Red]\(#,##0\);\-_)"/>
    <numFmt numFmtId="286" formatCode="0.0_)%;\(0.0%\);0.0_)%"/>
    <numFmt numFmtId="287" formatCode="#,##0_);\(#,##0\);\-_)"/>
    <numFmt numFmtId="288" formatCode="0.0_)%;[Red]\(0.0%\);0.0_)%"/>
    <numFmt numFmtId="289" formatCode="[Red][&gt;1]&quot;&gt;100 %&quot;;[Red]\(0.0%\);0.0_)%"/>
    <numFmt numFmtId="290" formatCode="#,##0.0000_);\(#,##0.0000\);&quot;-  &quot;;&quot; &quot;@"/>
    <numFmt numFmtId="291" formatCode="#,##0.0000_);\(#,##0.0000\);&quot;-  &quot;;&quot; &quot;@&quot; &quot;"/>
    <numFmt numFmtId="292" formatCode="0%\ \ \ \ \ \ \ "/>
    <numFmt numFmtId="293" formatCode="\£#,##0.00"/>
    <numFmt numFmtId="294" formatCode="\£#,##0.0,,,&quot;bn&quot;"/>
    <numFmt numFmtId="295" formatCode="\£#,##0.0,,&quot;m&quot;"/>
    <numFmt numFmtId="296" formatCode="\£#,##0.0,&quot;k&quot;"/>
    <numFmt numFmtId="297" formatCode="0.00%;\(0.00%\)"/>
    <numFmt numFmtId="298" formatCode="0.00_)"/>
    <numFmt numFmtId="299" formatCode="\ ;\ ;"/>
    <numFmt numFmtId="300" formatCode="_-* #,##0_-;\-* #,##0_-;_-* &quot;-&quot;??_-;_-@_-"/>
    <numFmt numFmtId="301" formatCode="#,##0.0;\(#,##0.0\);\-"/>
    <numFmt numFmtId="302" formatCode="&quot;$&quot;#,##0\ &quot;MM&quot;;\(&quot;$&quot;#,##0.00\ &quot;MM&quot;\)"/>
    <numFmt numFmtId="303" formatCode="_(&quot;$&quot;* #,##0_)\ &quot;millions&quot;;_(&quot;$&quot;* \(#,##0\)&quot; millions&quot;"/>
    <numFmt numFmtId="304" formatCode="#,##0.0,,&quot;m&quot;"/>
    <numFmt numFmtId="305" formatCode="#,##0\ &quot;MM&quot;"/>
    <numFmt numFmtId="306" formatCode="&quot;Cr$&quot;#,##0_);[Red]\(&quot;Cr$&quot;#,##0\)"/>
    <numFmt numFmtId="307" formatCode="&quot;Cr$&quot;#,##0.00_);[Red]\(&quot;Cr$&quot;#,##0.00\)"/>
    <numFmt numFmtId="308" formatCode="mmm\-yyyy"/>
    <numFmt numFmtId="309" formatCode="0.0\x"/>
    <numFmt numFmtId="310" formatCode="0.0\ \x"/>
    <numFmt numFmtId="311" formatCode="0%_);\(0%\);0%_);@_%_)"/>
    <numFmt numFmtId="312" formatCode="[Blue]#,##0;[Red]\(#,##0\);\-"/>
    <numFmt numFmtId="313" formatCode="[Blue]#,##0.0;[Red]\(#,##0.0\);\-"/>
    <numFmt numFmtId="314" formatCode="[Blue]#,##0.00;[Red]\(#,##0.00\);\-"/>
    <numFmt numFmtId="315" formatCode="[Blue]#,##0.000;[Red]\(#,##0.000\);\-"/>
    <numFmt numFmtId="316" formatCode="#,##0_);\-#,##0_);\-_)"/>
    <numFmt numFmtId="317" formatCode="#,##0.00_);\-#,##0.00_);\-_)"/>
    <numFmt numFmtId="318" formatCode="#,##0.0;[Red]\(#,##0.0\);\-"/>
    <numFmt numFmtId="319" formatCode="#,##0_ ;[Red]\(#,##0\);\-\ "/>
    <numFmt numFmtId="320" formatCode="#,##0;[Red]\(#,##0\)"/>
    <numFmt numFmtId="321" formatCode="0.0\ \ \ \ \ \ "/>
    <numFmt numFmtId="322" formatCode="0.0%\ \ \ \ \ "/>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dd\ mmm\ yyyy"/>
    <numFmt numFmtId="348" formatCode="_(* #,##0.000_);_(* \(#,##0.000\);_(* &quot;-&quot;??_);_(@_)"/>
    <numFmt numFmtId="349" formatCode="[$-F800]dddd\,\ mmmm\ dd\,\ yyyy"/>
    <numFmt numFmtId="350" formatCode="0.00000000%"/>
    <numFmt numFmtId="351" formatCode="_-* #,##0.0_-;\-* #,##0.0_-;_-* &quot;-&quot;?_-;_-@_-"/>
    <numFmt numFmtId="352" formatCode="&quot;£&quot;#,##0.0"/>
    <numFmt numFmtId="353" formatCode="0.00000"/>
    <numFmt numFmtId="354" formatCode="#,##0.0;\-#,##0.0;\-;@"/>
  </numFmts>
  <fonts count="288">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sz val="8"/>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6"/>
      <color theme="0"/>
      <name val="CG Omega"/>
    </font>
    <font>
      <sz val="16"/>
      <color theme="0"/>
      <name val="CG Omega"/>
    </font>
    <font>
      <vertAlign val="subscript"/>
      <sz val="10"/>
      <color theme="1"/>
      <name val="Verdana"/>
      <family val="2"/>
    </font>
    <font>
      <b/>
      <u/>
      <sz val="10"/>
      <color theme="1"/>
      <name val="Verdana"/>
      <family val="2"/>
    </font>
    <font>
      <b/>
      <vertAlign val="subscript"/>
      <sz val="14"/>
      <color theme="1"/>
      <name val="Verdana"/>
      <family val="2"/>
    </font>
    <font>
      <b/>
      <sz val="14"/>
      <color theme="1"/>
      <name val="Verdana"/>
      <family val="2"/>
    </font>
    <font>
      <b/>
      <sz val="6"/>
      <color rgb="FF202124"/>
      <name val="Arial"/>
      <family val="2"/>
    </font>
    <font>
      <b/>
      <sz val="10"/>
      <color rgb="FFFF0000"/>
      <name val="Verdana"/>
      <family val="2"/>
    </font>
    <font>
      <b/>
      <sz val="11"/>
      <color theme="1"/>
      <name val="Calibri"/>
      <family val="2"/>
      <scheme val="minor"/>
    </font>
    <font>
      <sz val="11"/>
      <name val="Calibri"/>
      <family val="2"/>
      <scheme val="minor"/>
    </font>
    <font>
      <b/>
      <i/>
      <sz val="11"/>
      <color theme="1"/>
      <name val="Calibri"/>
      <family val="2"/>
      <scheme val="minor"/>
    </font>
    <font>
      <i/>
      <sz val="11"/>
      <color theme="1"/>
      <name val="Calibri"/>
      <family val="2"/>
      <scheme val="minor"/>
    </font>
    <font>
      <i/>
      <sz val="11"/>
      <name val="Calibri"/>
      <family val="2"/>
      <scheme val="minor"/>
    </font>
    <font>
      <b/>
      <sz val="9"/>
      <color theme="0" tint="-0.34998626667073579"/>
      <name val="CG Omega"/>
      <family val="2"/>
    </font>
    <font>
      <b/>
      <sz val="10"/>
      <name val="Gill Sans MT"/>
      <family val="2"/>
    </font>
    <font>
      <b/>
      <sz val="11"/>
      <name val="Calibri"/>
      <family val="2"/>
      <scheme val="minor"/>
    </font>
    <font>
      <b/>
      <sz val="9"/>
      <color theme="1"/>
      <name val="Verdana"/>
      <family val="2"/>
    </font>
    <font>
      <b/>
      <sz val="10"/>
      <color theme="0" tint="-0.34998626667073579"/>
      <name val="Verdana"/>
      <family val="2"/>
    </font>
    <font>
      <sz val="10"/>
      <color rgb="FFFF0000"/>
      <name val="Gill Sans MT"/>
      <family val="2"/>
    </font>
    <font>
      <b/>
      <sz val="12"/>
      <color theme="1"/>
      <name val="Calibri"/>
      <family val="2"/>
      <scheme val="minor"/>
    </font>
    <font>
      <sz val="12"/>
      <color theme="1"/>
      <name val="Calibri"/>
      <family val="2"/>
      <scheme val="minor"/>
    </font>
    <font>
      <b/>
      <sz val="12"/>
      <name val="Calibri"/>
      <family val="2"/>
      <scheme val="minor"/>
    </font>
    <font>
      <b/>
      <i/>
      <sz val="11"/>
      <name val="Calibri"/>
      <family val="2"/>
      <scheme val="minor"/>
    </font>
  </fonts>
  <fills count="137">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rgb="FF99CCFF"/>
        <bgColor indexed="64"/>
      </patternFill>
    </fill>
    <fill>
      <patternFill patternType="solid">
        <fgColor rgb="FFFFFFFF"/>
        <bgColor indexed="64"/>
      </patternFill>
    </fill>
    <fill>
      <patternFill patternType="solid">
        <fgColor rgb="FFD9D9D9"/>
        <bgColor indexed="64"/>
      </patternFill>
    </fill>
    <fill>
      <patternFill patternType="solid">
        <fgColor rgb="FFC0C0C0"/>
        <bgColor indexed="64"/>
      </patternFill>
    </fill>
    <fill>
      <patternFill patternType="solid">
        <fgColor theme="3" tint="0.79998168889431442"/>
        <bgColor indexed="64"/>
      </patternFill>
    </fill>
    <fill>
      <patternFill patternType="solid">
        <fgColor rgb="FFFFFFAB"/>
        <bgColor indexed="64"/>
      </patternFill>
    </fill>
  </fills>
  <borders count="16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top style="thin">
        <color theme="0" tint="-0.499984740745262"/>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right style="thin">
        <color indexed="64"/>
      </right>
      <top style="thin">
        <color indexed="64"/>
      </top>
      <bottom style="thin">
        <color indexed="64"/>
      </bottom>
      <diagonal/>
    </border>
    <border>
      <left style="thin">
        <color theme="0" tint="-0.499984740745262"/>
      </left>
      <right style="thin">
        <color indexed="64"/>
      </right>
      <top style="thin">
        <color indexed="64"/>
      </top>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medium">
        <color rgb="FF000000"/>
      </left>
      <right style="thin">
        <color theme="0" tint="-0.499984740745262"/>
      </right>
      <top style="thin">
        <color indexed="64"/>
      </top>
      <bottom style="thin">
        <color theme="0" tint="-0.499984740745262"/>
      </bottom>
      <diagonal/>
    </border>
    <border>
      <left style="thin">
        <color theme="0" tint="-0.499984740745262"/>
      </left>
      <right style="medium">
        <color rgb="FF000000"/>
      </right>
      <top style="thin">
        <color theme="0" tint="-0.499984740745262"/>
      </top>
      <bottom style="thin">
        <color theme="0" tint="-0.499984740745262"/>
      </bottom>
      <diagonal/>
    </border>
    <border>
      <left style="medium">
        <color rgb="FF000000"/>
      </left>
      <right style="thin">
        <color theme="0" tint="-0.499984740745262"/>
      </right>
      <top style="thin">
        <color theme="0" tint="-0.499984740745262"/>
      </top>
      <bottom style="thin">
        <color theme="0" tint="-0.499984740745262"/>
      </bottom>
      <diagonal/>
    </border>
    <border>
      <left style="medium">
        <color rgb="FF000000"/>
      </left>
      <right/>
      <top style="thin">
        <color theme="0" tint="-0.499984740745262"/>
      </top>
      <bottom style="thin">
        <color theme="0" tint="-0.499984740745262"/>
      </bottom>
      <diagonal/>
    </border>
    <border>
      <left style="medium">
        <color rgb="FF000000"/>
      </left>
      <right/>
      <top style="thin">
        <color theme="0" tint="-0.499984740745262"/>
      </top>
      <bottom style="medium">
        <color rgb="FF000000"/>
      </bottom>
      <diagonal/>
    </border>
    <border>
      <left style="thin">
        <color theme="0" tint="-0.499984740745262"/>
      </left>
      <right/>
      <top style="thin">
        <color theme="0" tint="-0.499984740745262"/>
      </top>
      <bottom style="medium">
        <color rgb="FF000000"/>
      </bottom>
      <diagonal/>
    </border>
    <border>
      <left style="thin">
        <color theme="0" tint="-0.499984740745262"/>
      </left>
      <right style="thin">
        <color theme="0" tint="-0.499984740745262"/>
      </right>
      <top style="thin">
        <color theme="0" tint="-0.499984740745262"/>
      </top>
      <bottom style="medium">
        <color rgb="FF000000"/>
      </bottom>
      <diagonal/>
    </border>
    <border>
      <left style="thin">
        <color theme="0" tint="-0.499984740745262"/>
      </left>
      <right style="medium">
        <color rgb="FF000000"/>
      </right>
      <top style="thin">
        <color theme="0" tint="-0.499984740745262"/>
      </top>
      <bottom style="medium">
        <color rgb="FF000000"/>
      </bottom>
      <diagonal/>
    </border>
    <border>
      <left style="medium">
        <color rgb="FF000000"/>
      </left>
      <right style="thin">
        <color theme="0" tint="-0.499984740745262"/>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theme="0" tint="-0.499984740745262"/>
      </left>
      <right style="thin">
        <color theme="0" tint="-0.499984740745262"/>
      </right>
      <top style="medium">
        <color rgb="FF000000"/>
      </top>
      <bottom style="medium">
        <color rgb="FF000000"/>
      </bottom>
      <diagonal/>
    </border>
    <border>
      <left style="thin">
        <color theme="0" tint="-0.499984740745262"/>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theme="0" tint="-0.499984740745262"/>
      </right>
      <top style="medium">
        <color rgb="FF000000"/>
      </top>
      <bottom style="thin">
        <color theme="0" tint="-0.499984740745262"/>
      </bottom>
      <diagonal/>
    </border>
    <border>
      <left style="thin">
        <color theme="0" tint="-0.499984740745262"/>
      </left>
      <right style="thin">
        <color theme="0" tint="-0.499984740745262"/>
      </right>
      <top style="medium">
        <color rgb="FF000000"/>
      </top>
      <bottom style="thin">
        <color theme="0" tint="-0.499984740745262"/>
      </bottom>
      <diagonal/>
    </border>
    <border>
      <left style="thin">
        <color theme="0" tint="-0.499984740745262"/>
      </left>
      <right/>
      <top style="medium">
        <color rgb="FF000000"/>
      </top>
      <bottom style="thin">
        <color theme="0" tint="-0.499984740745262"/>
      </bottom>
      <diagonal/>
    </border>
    <border>
      <left style="thin">
        <color theme="0" tint="-0.499984740745262"/>
      </left>
      <right style="medium">
        <color rgb="FF000000"/>
      </right>
      <top style="medium">
        <color rgb="FF000000"/>
      </top>
      <bottom style="thin">
        <color theme="0" tint="-0.499984740745262"/>
      </bottom>
      <diagonal/>
    </border>
    <border>
      <left style="thin">
        <color theme="0" tint="-0.499984740745262"/>
      </left>
      <right style="thin">
        <color indexed="64"/>
      </right>
      <top style="medium">
        <color rgb="FF000000"/>
      </top>
      <bottom style="thin">
        <color theme="0" tint="-0.499984740745262"/>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theme="0" tint="-0.499984740745262"/>
      </right>
      <top style="thin">
        <color theme="0" tint="-0.499984740745262"/>
      </top>
      <bottom style="medium">
        <color rgb="FF000000"/>
      </bottom>
      <diagonal/>
    </border>
    <border>
      <left style="thin">
        <color theme="0" tint="-0.499984740745262"/>
      </left>
      <right style="thin">
        <color indexed="64"/>
      </right>
      <top style="thin">
        <color theme="0" tint="-0.499984740745262"/>
      </top>
      <bottom style="medium">
        <color rgb="FF000000"/>
      </bottom>
      <diagonal/>
    </border>
    <border>
      <left style="thin">
        <color rgb="FF000000"/>
      </left>
      <right style="medium">
        <color rgb="FF000000"/>
      </right>
      <top style="thin">
        <color rgb="FF000000"/>
      </top>
      <bottom style="medium">
        <color rgb="FF000000"/>
      </bottom>
      <diagonal/>
    </border>
    <border>
      <left style="thin">
        <color theme="0" tint="-0.499984740745262"/>
      </left>
      <right/>
      <top style="medium">
        <color rgb="FF000000"/>
      </top>
      <bottom style="medium">
        <color rgb="FF000000"/>
      </bottom>
      <diagonal/>
    </border>
    <border>
      <left style="thin">
        <color theme="0" tint="-0.499984740745262"/>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bottom style="thin">
        <color theme="0" tint="-0.499984740745262"/>
      </bottom>
      <diagonal/>
    </border>
    <border>
      <left style="thin">
        <color indexed="64"/>
      </left>
      <right style="thin">
        <color indexed="64"/>
      </right>
      <top/>
      <bottom style="thin">
        <color theme="0" tint="-0.499984740745262"/>
      </bottom>
      <diagonal/>
    </border>
    <border>
      <left style="thin">
        <color auto="1"/>
      </left>
      <right style="thin">
        <color auto="1"/>
      </right>
      <top/>
      <bottom/>
      <diagonal/>
    </border>
    <border>
      <left/>
      <right style="thin">
        <color theme="0" tint="-0.499984740745262"/>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s>
  <cellStyleXfs count="51693">
    <xf numFmtId="0" fontId="0" fillId="0" borderId="0"/>
    <xf numFmtId="169" fontId="7" fillId="0" borderId="0" applyFont="0" applyFill="0" applyBorder="0" applyAlignment="0" applyProtection="0"/>
    <xf numFmtId="169" fontId="9" fillId="0" borderId="0" applyFont="0" applyFill="0" applyBorder="0" applyAlignment="0" applyProtection="0"/>
    <xf numFmtId="0" fontId="9" fillId="0" borderId="0"/>
    <xf numFmtId="0" fontId="12" fillId="0" borderId="0"/>
    <xf numFmtId="0" fontId="9" fillId="0" borderId="0"/>
    <xf numFmtId="171" fontId="9" fillId="0" borderId="0" applyFont="0" applyFill="0" applyBorder="0" applyAlignment="0" applyProtection="0"/>
    <xf numFmtId="0" fontId="12" fillId="0" borderId="0"/>
    <xf numFmtId="0" fontId="12" fillId="0" borderId="0"/>
    <xf numFmtId="0" fontId="12" fillId="0" borderId="0"/>
    <xf numFmtId="0" fontId="12" fillId="0" borderId="0"/>
    <xf numFmtId="0" fontId="13"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4" fillId="12"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4" fillId="5"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9" fontId="10" fillId="0" borderId="0" applyFont="0" applyFill="0" applyBorder="0" applyAlignment="0" applyProtection="0"/>
    <xf numFmtId="4" fontId="16" fillId="18" borderId="3" applyNumberFormat="0" applyProtection="0">
      <alignment vertical="center"/>
    </xf>
    <xf numFmtId="4" fontId="17" fillId="18" borderId="3" applyNumberFormat="0" applyProtection="0">
      <alignment vertical="center"/>
    </xf>
    <xf numFmtId="4" fontId="16" fillId="18" borderId="3" applyNumberFormat="0" applyProtection="0">
      <alignment horizontal="left" vertical="center" indent="1"/>
    </xf>
    <xf numFmtId="0" fontId="16" fillId="18" borderId="3" applyNumberFormat="0" applyProtection="0">
      <alignment horizontal="left" vertical="top" indent="1"/>
    </xf>
    <xf numFmtId="4" fontId="16" fillId="19" borderId="0" applyNumberFormat="0" applyProtection="0">
      <alignment horizontal="left" vertical="center" indent="1"/>
    </xf>
    <xf numFmtId="4" fontId="18" fillId="20" borderId="3" applyNumberFormat="0" applyProtection="0">
      <alignment horizontal="right" vertical="center"/>
    </xf>
    <xf numFmtId="4" fontId="18" fillId="21" borderId="3" applyNumberFormat="0" applyProtection="0">
      <alignment horizontal="right" vertical="center"/>
    </xf>
    <xf numFmtId="4" fontId="18" fillId="22" borderId="3" applyNumberFormat="0" applyProtection="0">
      <alignment horizontal="right" vertical="center"/>
    </xf>
    <xf numFmtId="4" fontId="18" fillId="23" borderId="3" applyNumberFormat="0" applyProtection="0">
      <alignment horizontal="right" vertical="center"/>
    </xf>
    <xf numFmtId="4" fontId="18" fillId="24" borderId="3" applyNumberFormat="0" applyProtection="0">
      <alignment horizontal="right" vertical="center"/>
    </xf>
    <xf numFmtId="4" fontId="18" fillId="25" borderId="3" applyNumberFormat="0" applyProtection="0">
      <alignment horizontal="right" vertical="center"/>
    </xf>
    <xf numFmtId="4" fontId="18" fillId="26" borderId="3" applyNumberFormat="0" applyProtection="0">
      <alignment horizontal="right" vertical="center"/>
    </xf>
    <xf numFmtId="4" fontId="18" fillId="27" borderId="3" applyNumberFormat="0" applyProtection="0">
      <alignment horizontal="right" vertical="center"/>
    </xf>
    <xf numFmtId="4" fontId="18" fillId="28" borderId="3" applyNumberFormat="0" applyProtection="0">
      <alignment horizontal="right" vertical="center"/>
    </xf>
    <xf numFmtId="4" fontId="16" fillId="29" borderId="4" applyNumberFormat="0" applyProtection="0">
      <alignment horizontal="left" vertical="center" indent="1"/>
    </xf>
    <xf numFmtId="4" fontId="18" fillId="30" borderId="0" applyNumberFormat="0" applyProtection="0">
      <alignment horizontal="left" vertical="center" indent="1"/>
    </xf>
    <xf numFmtId="4" fontId="19" fillId="31" borderId="0" applyNumberFormat="0" applyProtection="0">
      <alignment horizontal="left" vertical="center" indent="1"/>
    </xf>
    <xf numFmtId="4" fontId="18" fillId="19" borderId="3" applyNumberFormat="0" applyProtection="0">
      <alignment horizontal="right" vertical="center"/>
    </xf>
    <xf numFmtId="4" fontId="18" fillId="30" borderId="0" applyNumberFormat="0" applyProtection="0">
      <alignment horizontal="left" vertical="center" indent="1"/>
    </xf>
    <xf numFmtId="4" fontId="18" fillId="19" borderId="0"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top" indent="1"/>
    </xf>
    <xf numFmtId="0" fontId="9" fillId="19" borderId="3" applyNumberFormat="0" applyProtection="0">
      <alignment horizontal="left" vertical="center" indent="1"/>
    </xf>
    <xf numFmtId="0" fontId="9" fillId="19" borderId="3" applyNumberFormat="0" applyProtection="0">
      <alignment horizontal="left" vertical="top" indent="1"/>
    </xf>
    <xf numFmtId="0" fontId="9" fillId="32" borderId="3" applyNumberFormat="0" applyProtection="0">
      <alignment horizontal="left" vertical="center" indent="1"/>
    </xf>
    <xf numFmtId="0" fontId="9" fillId="32" borderId="3" applyNumberFormat="0" applyProtection="0">
      <alignment horizontal="left" vertical="top" indent="1"/>
    </xf>
    <xf numFmtId="0" fontId="9" fillId="30" borderId="3" applyNumberFormat="0" applyProtection="0">
      <alignment horizontal="left" vertical="center" indent="1"/>
    </xf>
    <xf numFmtId="0" fontId="9" fillId="30" borderId="3" applyNumberFormat="0" applyProtection="0">
      <alignment horizontal="left" vertical="top" indent="1"/>
    </xf>
    <xf numFmtId="0" fontId="9" fillId="33" borderId="1" applyNumberFormat="0">
      <protection locked="0"/>
    </xf>
    <xf numFmtId="4" fontId="18" fillId="34" borderId="3" applyNumberFormat="0" applyProtection="0">
      <alignment vertical="center"/>
    </xf>
    <xf numFmtId="4" fontId="20" fillId="34" borderId="3" applyNumberFormat="0" applyProtection="0">
      <alignment vertical="center"/>
    </xf>
    <xf numFmtId="4" fontId="18" fillId="34" borderId="3" applyNumberFormat="0" applyProtection="0">
      <alignment horizontal="left" vertical="center" indent="1"/>
    </xf>
    <xf numFmtId="0" fontId="18" fillId="34" borderId="3" applyNumberFormat="0" applyProtection="0">
      <alignment horizontal="left" vertical="top" indent="1"/>
    </xf>
    <xf numFmtId="4" fontId="18" fillId="30" borderId="3" applyNumberFormat="0" applyProtection="0">
      <alignment horizontal="right" vertical="center"/>
    </xf>
    <xf numFmtId="4" fontId="20" fillId="30" borderId="3" applyNumberFormat="0" applyProtection="0">
      <alignment horizontal="right" vertical="center"/>
    </xf>
    <xf numFmtId="4" fontId="18" fillId="19" borderId="3" applyNumberFormat="0" applyProtection="0">
      <alignment horizontal="left" vertical="center" indent="1"/>
    </xf>
    <xf numFmtId="0" fontId="18" fillId="19" borderId="3" applyNumberFormat="0" applyProtection="0">
      <alignment horizontal="left" vertical="top" indent="1"/>
    </xf>
    <xf numFmtId="4" fontId="21" fillId="35" borderId="0" applyNumberFormat="0" applyProtection="0">
      <alignment horizontal="left" vertical="center" indent="1"/>
    </xf>
    <xf numFmtId="4" fontId="22" fillId="30" borderId="3" applyNumberFormat="0" applyProtection="0">
      <alignment horizontal="right" vertical="center"/>
    </xf>
    <xf numFmtId="0" fontId="23" fillId="0" borderId="0" applyNumberFormat="0" applyFill="0" applyBorder="0" applyAlignment="0" applyProtection="0"/>
    <xf numFmtId="0" fontId="9" fillId="0" borderId="0"/>
    <xf numFmtId="9" fontId="24" fillId="0" borderId="0" applyFont="0" applyFill="0" applyBorder="0" applyAlignment="0" applyProtection="0"/>
    <xf numFmtId="0" fontId="7" fillId="0" borderId="0"/>
    <xf numFmtId="0" fontId="9" fillId="33" borderId="6" applyNumberFormat="0">
      <protection locked="0"/>
    </xf>
    <xf numFmtId="9" fontId="7" fillId="0" borderId="0" applyFont="0" applyFill="0" applyBorder="0" applyAlignment="0" applyProtection="0"/>
    <xf numFmtId="0" fontId="9" fillId="0" borderId="0"/>
    <xf numFmtId="0" fontId="7" fillId="0" borderId="0"/>
    <xf numFmtId="0" fontId="9" fillId="0" borderId="0"/>
    <xf numFmtId="172" fontId="7" fillId="3" borderId="6">
      <alignment vertical="center"/>
      <protection locked="0"/>
    </xf>
    <xf numFmtId="172" fontId="7" fillId="43" borderId="6">
      <alignment vertical="center"/>
    </xf>
    <xf numFmtId="9" fontId="12" fillId="0" borderId="0" applyFont="0" applyFill="0" applyBorder="0" applyAlignment="0" applyProtection="0"/>
    <xf numFmtId="0" fontId="25" fillId="0" borderId="0">
      <alignment vertical="top"/>
    </xf>
    <xf numFmtId="0" fontId="12" fillId="0" borderId="0"/>
    <xf numFmtId="0" fontId="7" fillId="0" borderId="0"/>
    <xf numFmtId="0" fontId="28" fillId="0" borderId="0"/>
    <xf numFmtId="0" fontId="9" fillId="0" borderId="0"/>
    <xf numFmtId="0" fontId="9" fillId="0" borderId="0"/>
    <xf numFmtId="0" fontId="25" fillId="0" borderId="0"/>
    <xf numFmtId="172" fontId="7" fillId="3" borderId="6">
      <alignment vertical="center"/>
      <protection locked="0"/>
    </xf>
    <xf numFmtId="0" fontId="34" fillId="0" borderId="0" applyNumberFormat="0" applyFill="0" applyBorder="0" applyAlignment="0" applyProtection="0"/>
    <xf numFmtId="0" fontId="25" fillId="0" borderId="0"/>
    <xf numFmtId="173" fontId="37" fillId="48" borderId="0" applyBorder="0">
      <alignment vertical="center"/>
    </xf>
    <xf numFmtId="169" fontId="7" fillId="0" borderId="0" applyFont="0" applyFill="0" applyBorder="0" applyAlignment="0" applyProtection="0"/>
    <xf numFmtId="173" fontId="38" fillId="49" borderId="0"/>
    <xf numFmtId="0" fontId="12" fillId="0" borderId="0"/>
    <xf numFmtId="0" fontId="28" fillId="0" borderId="0"/>
    <xf numFmtId="0" fontId="7" fillId="0" borderId="0"/>
    <xf numFmtId="0" fontId="7"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5" fontId="9" fillId="0" borderId="0">
      <alignment vertical="top"/>
    </xf>
    <xf numFmtId="185" fontId="9" fillId="0" borderId="0">
      <alignment vertical="top"/>
    </xf>
    <xf numFmtId="186" fontId="43" fillId="0" borderId="0"/>
    <xf numFmtId="187" fontId="9" fillId="0" borderId="0"/>
    <xf numFmtId="187" fontId="9" fillId="0" borderId="0"/>
    <xf numFmtId="187" fontId="9" fillId="0" borderId="0"/>
    <xf numFmtId="187" fontId="9" fillId="0" borderId="0"/>
    <xf numFmtId="187" fontId="9" fillId="0" borderId="0"/>
    <xf numFmtId="185" fontId="44" fillId="0" borderId="0"/>
    <xf numFmtId="186" fontId="43" fillId="0" borderId="0"/>
    <xf numFmtId="187" fontId="9" fillId="0" borderId="0"/>
    <xf numFmtId="187" fontId="9" fillId="0" borderId="0"/>
    <xf numFmtId="187" fontId="9" fillId="0" borderId="0"/>
    <xf numFmtId="187" fontId="9" fillId="0" borderId="0"/>
    <xf numFmtId="187" fontId="9" fillId="0" borderId="0"/>
    <xf numFmtId="188" fontId="45" fillId="0" borderId="0" applyFont="0" applyFill="0" applyBorder="0" applyAlignment="0" applyProtection="0">
      <protection locked="0"/>
    </xf>
    <xf numFmtId="189" fontId="44" fillId="0" borderId="0">
      <alignment horizontal="right"/>
    </xf>
    <xf numFmtId="190" fontId="44" fillId="46" borderId="0"/>
    <xf numFmtId="191" fontId="44" fillId="46" borderId="0"/>
    <xf numFmtId="192" fontId="44" fillId="46" borderId="0"/>
    <xf numFmtId="193" fontId="44" fillId="46" borderId="0">
      <alignment horizontal="right"/>
    </xf>
    <xf numFmtId="0" fontId="12" fillId="0" borderId="0"/>
    <xf numFmtId="179" fontId="12" fillId="0" borderId="0"/>
    <xf numFmtId="179"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4"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185" fontId="9" fillId="0" borderId="0"/>
    <xf numFmtId="0" fontId="9" fillId="0" borderId="0"/>
    <xf numFmtId="185" fontId="12" fillId="0" borderId="0"/>
    <xf numFmtId="185" fontId="9" fillId="0" borderId="0"/>
    <xf numFmtId="185" fontId="9" fillId="0" borderId="0"/>
    <xf numFmtId="185" fontId="9"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12" fillId="0" borderId="0"/>
    <xf numFmtId="0" fontId="9" fillId="0" borderId="0"/>
    <xf numFmtId="0" fontId="9" fillId="0" borderId="0"/>
    <xf numFmtId="0" fontId="12" fillId="0" borderId="0"/>
    <xf numFmtId="0" fontId="12" fillId="0" borderId="0"/>
    <xf numFmtId="0" fontId="9" fillId="0" borderId="0"/>
    <xf numFmtId="0" fontId="12" fillId="0" borderId="0"/>
    <xf numFmtId="0" fontId="12" fillId="0" borderId="0"/>
    <xf numFmtId="185" fontId="12"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85"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185" fontId="9" fillId="0" borderId="0" applyBorder="0"/>
    <xf numFmtId="185" fontId="46" fillId="0" borderId="0" applyNumberFormat="0" applyFont="0" applyFill="0" applyBorder="0" applyAlignment="0" applyProtection="0"/>
    <xf numFmtId="167" fontId="9" fillId="0" borderId="0" applyFont="0" applyFill="0" applyBorder="0" applyAlignment="0" applyProtection="0"/>
    <xf numFmtId="185" fontId="41" fillId="0" borderId="0" applyNumberFormat="0" applyFill="0" applyBorder="0" applyAlignment="0" applyProtection="0">
      <alignment vertical="top"/>
      <protection locked="0"/>
    </xf>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6" fontId="47" fillId="0" borderId="0">
      <alignment horizontal="right" vertical="center"/>
    </xf>
    <xf numFmtId="0" fontId="48" fillId="0" borderId="0"/>
    <xf numFmtId="0" fontId="48" fillId="0" borderId="0"/>
    <xf numFmtId="0" fontId="48" fillId="0" borderId="0"/>
    <xf numFmtId="0" fontId="48" fillId="0" borderId="0"/>
    <xf numFmtId="0" fontId="48" fillId="0" borderId="0"/>
    <xf numFmtId="0" fontId="9" fillId="0" borderId="0"/>
    <xf numFmtId="0" fontId="9" fillId="0" borderId="0"/>
    <xf numFmtId="185" fontId="48" fillId="0" borderId="0"/>
    <xf numFmtId="38" fontId="49" fillId="0" borderId="0" applyFont="0" applyFill="0" applyBorder="0" applyAlignment="0" applyProtection="0"/>
    <xf numFmtId="38" fontId="4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38" fontId="49" fillId="0" borderId="0" applyFont="0" applyFill="0" applyBorder="0" applyAlignment="0" applyProtection="0"/>
    <xf numFmtId="38" fontId="49" fillId="0" borderId="0" applyFont="0" applyFill="0" applyBorder="0" applyAlignment="0" applyProtection="0"/>
    <xf numFmtId="185" fontId="48" fillId="0" borderId="0"/>
    <xf numFmtId="185" fontId="9" fillId="0" borderId="0" applyFont="0" applyFill="0" applyBorder="0" applyAlignment="0" applyProtection="0"/>
    <xf numFmtId="185" fontId="48" fillId="0" borderId="0"/>
    <xf numFmtId="185" fontId="48" fillId="0" borderId="0"/>
    <xf numFmtId="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8" fillId="0" borderId="0"/>
    <xf numFmtId="0" fontId="9" fillId="0" borderId="0" applyFont="0" applyFill="0" applyBorder="0" applyAlignment="0" applyProtection="0"/>
    <xf numFmtId="0" fontId="48" fillId="0" borderId="0"/>
    <xf numFmtId="185" fontId="9" fillId="0" borderId="0"/>
    <xf numFmtId="185" fontId="9" fillId="0" borderId="0"/>
    <xf numFmtId="185"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8" fontId="49" fillId="0" borderId="0" applyFont="0" applyFill="0" applyBorder="0" applyAlignment="0" applyProtection="0"/>
    <xf numFmtId="197" fontId="9" fillId="0" borderId="0" applyFont="0" applyFill="0" applyBorder="0" applyAlignment="0" applyProtection="0"/>
    <xf numFmtId="185" fontId="43" fillId="0" borderId="0" applyFont="0" applyFill="0" applyBorder="0" applyAlignment="0" applyProtection="0"/>
    <xf numFmtId="197" fontId="9" fillId="0" borderId="0" applyFont="0" applyFill="0" applyBorder="0" applyAlignment="0" applyProtection="0"/>
    <xf numFmtId="185" fontId="9" fillId="0" borderId="0"/>
    <xf numFmtId="185" fontId="9" fillId="0" borderId="0"/>
    <xf numFmtId="0" fontId="9" fillId="0" borderId="0"/>
    <xf numFmtId="185" fontId="48" fillId="0" borderId="0"/>
    <xf numFmtId="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198" fontId="9" fillId="0" borderId="0" applyFont="0" applyFill="0" applyBorder="0" applyAlignment="0" applyProtection="0"/>
    <xf numFmtId="185" fontId="43" fillId="0" borderId="0" applyFont="0" applyFill="0" applyBorder="0" applyAlignment="0" applyProtection="0"/>
    <xf numFmtId="199" fontId="9" fillId="0" borderId="0" applyFont="0" applyFill="0" applyBorder="0" applyAlignment="0" applyProtection="0"/>
    <xf numFmtId="198" fontId="9" fillId="0" borderId="0" applyFont="0" applyFill="0" applyBorder="0" applyAlignment="0" applyProtection="0"/>
    <xf numFmtId="199" fontId="9" fillId="0" borderId="0" applyFont="0" applyFill="0" applyBorder="0" applyAlignment="0" applyProtection="0"/>
    <xf numFmtId="39" fontId="9" fillId="0" borderId="0" applyFont="0" applyFill="0" applyBorder="0" applyAlignment="0" applyProtection="0"/>
    <xf numFmtId="185" fontId="43" fillId="0" borderId="0" applyFont="0" applyFill="0" applyBorder="0" applyAlignment="0" applyProtection="0"/>
    <xf numFmtId="39" fontId="9" fillId="0" borderId="0" applyFont="0" applyFill="0" applyBorder="0" applyAlignment="0" applyProtection="0"/>
    <xf numFmtId="185" fontId="9" fillId="0" borderId="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5" fontId="48" fillId="0" borderId="0"/>
    <xf numFmtId="185" fontId="41" fillId="0" borderId="0"/>
    <xf numFmtId="185" fontId="41" fillId="0" borderId="0"/>
    <xf numFmtId="38" fontId="49" fillId="0" borderId="0" applyAlignment="0" applyProtection="0"/>
    <xf numFmtId="38" fontId="49" fillId="0" borderId="0" applyFont="0" applyBorder="0" applyAlignment="0" applyProtection="0"/>
    <xf numFmtId="200" fontId="9" fillId="0" borderId="0" applyFont="0" applyFill="0" applyBorder="0" applyProtection="0">
      <alignment vertical="top"/>
    </xf>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5" fontId="48" fillId="0" borderId="0"/>
    <xf numFmtId="185"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48" fillId="0" borderId="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185" fontId="48" fillId="0" borderId="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38" fontId="40" fillId="0" borderId="0" applyAlignment="0" applyProtection="0"/>
    <xf numFmtId="0" fontId="9" fillId="0" borderId="0" applyFont="0" applyFill="0" applyBorder="0" applyAlignment="0" applyProtection="0"/>
    <xf numFmtId="200" fontId="9" fillId="0" borderId="0" applyFont="0" applyFill="0" applyBorder="0" applyProtection="0">
      <alignment vertical="top"/>
    </xf>
    <xf numFmtId="38" fontId="40" fillId="0" borderId="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9" fillId="0" borderId="0"/>
    <xf numFmtId="185" fontId="48" fillId="0" borderId="0"/>
    <xf numFmtId="201" fontId="9" fillId="0" borderId="0" applyFont="0" applyFill="0" applyBorder="0" applyAlignment="0" applyProtection="0"/>
    <xf numFmtId="185" fontId="43" fillId="0" borderId="0" applyFont="0" applyFill="0" applyBorder="0" applyAlignment="0" applyProtection="0"/>
    <xf numFmtId="202" fontId="9" fillId="0" borderId="0" applyFont="0" applyFill="0" applyBorder="0" applyAlignment="0" applyProtection="0"/>
    <xf numFmtId="201" fontId="9" fillId="0" borderId="0" applyFont="0" applyFill="0" applyBorder="0" applyAlignment="0" applyProtection="0"/>
    <xf numFmtId="202" fontId="9" fillId="0" borderId="0" applyFont="0" applyFill="0" applyBorder="0" applyAlignment="0" applyProtection="0"/>
    <xf numFmtId="203" fontId="9" fillId="0" borderId="0" applyFont="0" applyFill="0" applyBorder="0" applyAlignment="0" applyProtection="0"/>
    <xf numFmtId="185" fontId="43" fillId="0" borderId="0" applyFont="0" applyFill="0" applyBorder="0" applyAlignment="0" applyProtection="0"/>
    <xf numFmtId="204" fontId="9" fillId="0" borderId="0" applyFont="0" applyFill="0" applyBorder="0" applyAlignment="0" applyProtection="0"/>
    <xf numFmtId="203" fontId="9" fillId="0" borderId="0" applyFont="0" applyFill="0" applyBorder="0" applyAlignment="0" applyProtection="0"/>
    <xf numFmtId="204" fontId="9" fillId="0" borderId="0" applyFont="0" applyFill="0" applyBorder="0" applyAlignment="0" applyProtection="0"/>
    <xf numFmtId="0" fontId="9" fillId="0" borderId="0" applyFont="0" applyFill="0" applyBorder="0" applyAlignment="0" applyProtection="0"/>
    <xf numFmtId="185" fontId="48" fillId="0" borderId="0"/>
    <xf numFmtId="185" fontId="48" fillId="0" borderId="0"/>
    <xf numFmtId="185" fontId="9" fillId="0" borderId="0"/>
    <xf numFmtId="0" fontId="9" fillId="0" borderId="0" applyFont="0" applyFill="0" applyBorder="0" applyAlignment="0" applyProtection="0"/>
    <xf numFmtId="185" fontId="48" fillId="0" borderId="0"/>
    <xf numFmtId="38" fontId="40" fillId="0" borderId="0" applyAlignment="0" applyProtection="0"/>
    <xf numFmtId="185" fontId="9" fillId="0" borderId="0"/>
    <xf numFmtId="185" fontId="9" fillId="0" borderId="0"/>
    <xf numFmtId="38" fontId="49" fillId="0" borderId="0" applyFont="0" applyFill="0" applyBorder="0" applyAlignment="0" applyProtection="0"/>
    <xf numFmtId="38" fontId="49" fillId="0" borderId="0" applyFont="0" applyFill="0" applyBorder="0" applyAlignment="0" applyProtection="0"/>
    <xf numFmtId="205" fontId="9" fillId="0" borderId="0" applyFont="0" applyFill="0" applyBorder="0" applyAlignment="0" applyProtection="0"/>
    <xf numFmtId="185" fontId="43" fillId="0" borderId="0" applyFont="0" applyFill="0" applyBorder="0" applyAlignment="0" applyProtection="0"/>
    <xf numFmtId="181" fontId="9" fillId="0" borderId="0" applyFont="0" applyFill="0" applyBorder="0" applyAlignment="0" applyProtection="0"/>
    <xf numFmtId="205" fontId="9" fillId="0" borderId="0" applyFont="0" applyFill="0" applyBorder="0" applyAlignment="0" applyProtection="0"/>
    <xf numFmtId="181" fontId="9" fillId="0" borderId="0" applyFont="0" applyFill="0" applyBorder="0" applyAlignment="0" applyProtection="0"/>
    <xf numFmtId="206" fontId="9" fillId="0" borderId="0" applyFont="0" applyFill="0" applyBorder="0" applyAlignment="0" applyProtection="0"/>
    <xf numFmtId="185" fontId="43" fillId="0" borderId="0" applyFont="0" applyFill="0" applyBorder="0" applyAlignment="0" applyProtection="0"/>
    <xf numFmtId="207" fontId="9" fillId="0" borderId="0" applyFont="0" applyFill="0" applyBorder="0" applyAlignment="0" applyProtection="0"/>
    <xf numFmtId="206" fontId="9" fillId="0" borderId="0" applyFont="0" applyFill="0" applyBorder="0" applyAlignment="0" applyProtection="0"/>
    <xf numFmtId="207" fontId="9" fillId="0" borderId="0" applyFont="0" applyFill="0" applyBorder="0" applyAlignment="0" applyProtection="0"/>
    <xf numFmtId="185" fontId="50" fillId="0" borderId="0"/>
    <xf numFmtId="185" fontId="50" fillId="0" borderId="0"/>
    <xf numFmtId="185" fontId="50" fillId="0" borderId="0"/>
    <xf numFmtId="185"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48" fillId="0" borderId="0"/>
    <xf numFmtId="0" fontId="9" fillId="0" borderId="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0" fontId="9" fillId="0" borderId="0" applyFont="0" applyFill="0" applyBorder="0" applyAlignment="0" applyProtection="0"/>
    <xf numFmtId="185"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185"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185" fontId="51" fillId="0" borderId="0" applyNumberFormat="0" applyFill="0" applyBorder="0" applyProtection="0">
      <alignment horizontal="left"/>
    </xf>
    <xf numFmtId="185" fontId="52" fillId="0" borderId="0" applyNumberFormat="0" applyFill="0" applyBorder="0" applyProtection="0">
      <alignment horizontal="centerContinuous"/>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5" fontId="50" fillId="0" borderId="0"/>
    <xf numFmtId="185" fontId="50" fillId="0" borderId="0"/>
    <xf numFmtId="208" fontId="53" fillId="0" borderId="0"/>
    <xf numFmtId="185" fontId="41" fillId="0" borderId="0"/>
    <xf numFmtId="185" fontId="41" fillId="0" borderId="0"/>
    <xf numFmtId="185" fontId="50" fillId="0" borderId="0"/>
    <xf numFmtId="185" fontId="50" fillId="0" borderId="0"/>
    <xf numFmtId="185" fontId="50" fillId="0" borderId="0"/>
    <xf numFmtId="0" fontId="9" fillId="0" borderId="0" applyFont="0" applyFill="0" applyBorder="0" applyAlignment="0" applyProtection="0"/>
    <xf numFmtId="185" fontId="9" fillId="0" borderId="0"/>
    <xf numFmtId="185" fontId="48" fillId="0" borderId="0"/>
    <xf numFmtId="208" fontId="5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9" fontId="54" fillId="0" borderId="0" applyFont="0" applyFill="0" applyBorder="0" applyAlignment="0" applyProtection="0"/>
    <xf numFmtId="210" fontId="41" fillId="0" borderId="0" applyFont="0" applyFill="0" applyBorder="0" applyAlignment="0" applyProtection="0"/>
    <xf numFmtId="211" fontId="55" fillId="0" borderId="0"/>
    <xf numFmtId="212" fontId="41" fillId="0" borderId="0" applyFont="0" applyFill="0" applyBorder="0" applyAlignment="0" applyProtection="0"/>
    <xf numFmtId="213" fontId="54" fillId="0" borderId="0" applyFont="0" applyFill="0" applyBorder="0" applyAlignment="0" applyProtection="0"/>
    <xf numFmtId="0" fontId="12" fillId="0" borderId="0"/>
    <xf numFmtId="0" fontId="9" fillId="0" borderId="0"/>
    <xf numFmtId="0" fontId="9" fillId="0" borderId="0"/>
    <xf numFmtId="0" fontId="9" fillId="0" borderId="0"/>
    <xf numFmtId="19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12" fillId="0" borderId="0"/>
    <xf numFmtId="0" fontId="12" fillId="0" borderId="0"/>
    <xf numFmtId="0" fontId="12" fillId="0" borderId="0"/>
    <xf numFmtId="0" fontId="9" fillId="0" borderId="0"/>
    <xf numFmtId="0" fontId="12" fillId="0" borderId="0"/>
    <xf numFmtId="0" fontId="9" fillId="0" borderId="0"/>
    <xf numFmtId="0" fontId="9" fillId="0" borderId="0"/>
    <xf numFmtId="0" fontId="9" fillId="0" borderId="0"/>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185" fontId="9" fillId="0" borderId="0"/>
    <xf numFmtId="214" fontId="9" fillId="0" borderId="0" applyBorder="0"/>
    <xf numFmtId="0" fontId="9" fillId="0" borderId="0"/>
    <xf numFmtId="0" fontId="9" fillId="0" borderId="0"/>
    <xf numFmtId="185" fontId="9" fillId="0" borderId="0" applyBorder="0"/>
    <xf numFmtId="214" fontId="9" fillId="0" borderId="0" applyBorder="0"/>
    <xf numFmtId="208" fontId="53" fillId="0" borderId="0"/>
    <xf numFmtId="215" fontId="55" fillId="0" borderId="0"/>
    <xf numFmtId="215" fontId="56" fillId="0" borderId="0"/>
    <xf numFmtId="216" fontId="55" fillId="0" borderId="0"/>
    <xf numFmtId="217" fontId="45" fillId="0" borderId="0" applyFont="0" applyFill="0" applyBorder="0" applyAlignment="0" applyProtection="0">
      <protection locked="0"/>
    </xf>
    <xf numFmtId="218" fontId="57" fillId="0" borderId="0"/>
    <xf numFmtId="185" fontId="56" fillId="0" borderId="0"/>
    <xf numFmtId="218" fontId="58" fillId="0" borderId="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194" fontId="59" fillId="56"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94" fontId="59" fillId="20"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194" fontId="59" fillId="57"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194" fontId="59" fillId="58"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194" fontId="59" fillId="59"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194" fontId="59" fillId="60" borderId="0" applyNumberFormat="0" applyBorder="0" applyAlignment="0" applyProtection="0"/>
    <xf numFmtId="219" fontId="55" fillId="0" borderId="0"/>
    <xf numFmtId="220" fontId="56" fillId="0" borderId="0"/>
    <xf numFmtId="219" fontId="60" fillId="0" borderId="0"/>
    <xf numFmtId="0" fontId="9" fillId="0" borderId="0"/>
    <xf numFmtId="0" fontId="9" fillId="0" borderId="0"/>
    <xf numFmtId="221" fontId="55" fillId="0" borderId="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94" fontId="59" fillId="32"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194" fontId="59" fillId="21"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94" fontId="59" fillId="2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194" fontId="59" fillId="58"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94" fontId="59" fillId="32"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94" fontId="59" fillId="23"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194" fontId="62" fillId="62"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194" fontId="62" fillId="21"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194" fontId="62" fillId="28"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194" fontId="62" fillId="63"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194" fontId="62" fillId="6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194" fontId="62" fillId="24" borderId="0" applyNumberFormat="0" applyBorder="0" applyAlignment="0" applyProtection="0"/>
    <xf numFmtId="0" fontId="43" fillId="0" borderId="0"/>
    <xf numFmtId="0" fontId="13" fillId="65" borderId="0" applyNumberFormat="0" applyBorder="0" applyAlignment="0" applyProtection="0"/>
    <xf numFmtId="0" fontId="13" fillId="12"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194" fontId="62" fillId="67" borderId="0" applyNumberFormat="0" applyBorder="0" applyAlignment="0" applyProtection="0"/>
    <xf numFmtId="0" fontId="13" fillId="68" borderId="0" applyNumberFormat="0" applyBorder="0" applyAlignment="0" applyProtection="0"/>
    <xf numFmtId="0" fontId="13" fillId="11"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194" fontId="62" fillId="22" borderId="0" applyNumberFormat="0" applyBorder="0" applyAlignment="0" applyProtection="0"/>
    <xf numFmtId="0" fontId="13" fillId="70" borderId="0" applyNumberFormat="0" applyBorder="0" applyAlignment="0" applyProtection="0"/>
    <xf numFmtId="0" fontId="13" fillId="71"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194" fontId="62" fillId="26" borderId="0" applyNumberFormat="0" applyBorder="0" applyAlignment="0" applyProtection="0"/>
    <xf numFmtId="0" fontId="13" fillId="68" borderId="0" applyNumberFormat="0" applyBorder="0" applyAlignment="0" applyProtection="0"/>
    <xf numFmtId="0" fontId="13" fillId="9"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194" fontId="62" fillId="63"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194" fontId="62" fillId="64"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194" fontId="62" fillId="25" borderId="0" applyNumberFormat="0" applyBorder="0" applyAlignment="0" applyProtection="0"/>
    <xf numFmtId="222" fontId="63" fillId="0" borderId="9">
      <alignment horizontal="centerContinuous"/>
    </xf>
    <xf numFmtId="223" fontId="64" fillId="40" borderId="12">
      <alignment horizontal="center" vertical="center"/>
    </xf>
    <xf numFmtId="214" fontId="45" fillId="0" borderId="0" applyFont="0" applyFill="0" applyBorder="0" applyAlignment="0" applyProtection="0"/>
    <xf numFmtId="185" fontId="45" fillId="0" borderId="0" applyFont="0" applyFill="0" applyBorder="0" applyAlignment="0" applyProtection="0"/>
    <xf numFmtId="208" fontId="65" fillId="0" borderId="0" applyNumberFormat="0" applyFont="0" applyFill="0" applyBorder="0" applyProtection="0">
      <alignment horizontal="center"/>
    </xf>
    <xf numFmtId="224" fontId="66" fillId="0" borderId="0">
      <alignment horizontal="left"/>
    </xf>
    <xf numFmtId="0" fontId="57" fillId="0" borderId="0"/>
    <xf numFmtId="225" fontId="67" fillId="0" borderId="0" applyFont="0" applyFill="0" applyBorder="0" applyAlignment="0" applyProtection="0"/>
    <xf numFmtId="185" fontId="45" fillId="0" borderId="0" applyFont="0" applyFill="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70" fillId="55"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194" fontId="72" fillId="20" borderId="0" applyNumberFormat="0" applyBorder="0" applyAlignment="0" applyProtection="0"/>
    <xf numFmtId="226" fontId="73" fillId="75" borderId="7" applyNumberFormat="0" applyBorder="0" applyAlignment="0">
      <alignment horizontal="centerContinuous" vertical="center"/>
      <protection hidden="1"/>
    </xf>
    <xf numFmtId="1" fontId="74" fillId="76" borderId="10" applyNumberFormat="0" applyBorder="0" applyAlignment="0">
      <alignment horizontal="center" vertical="top" wrapText="1"/>
      <protection hidden="1"/>
    </xf>
    <xf numFmtId="227" fontId="9" fillId="0" borderId="0" applyFont="0" applyFill="0" applyBorder="0" applyAlignment="0" applyProtection="0"/>
    <xf numFmtId="197" fontId="9" fillId="0" borderId="0" applyNumberFormat="0" applyFont="0" applyAlignment="0" applyProtection="0"/>
    <xf numFmtId="185" fontId="75" fillId="77" borderId="0">
      <alignment horizontal="left"/>
    </xf>
    <xf numFmtId="228" fontId="76" fillId="0" borderId="0" applyFill="0" applyBorder="0" applyAlignment="0" applyProtection="0"/>
    <xf numFmtId="2" fontId="77" fillId="50" borderId="11" applyProtection="0">
      <alignment horizontal="left"/>
      <protection locked="0"/>
    </xf>
    <xf numFmtId="185" fontId="64" fillId="40" borderId="0" applyNumberFormat="0" applyFont="0" applyAlignment="0">
      <alignment horizontal="center"/>
    </xf>
    <xf numFmtId="229" fontId="78" fillId="40" borderId="0" applyFont="0" applyFill="0" applyBorder="0" applyAlignment="0" applyProtection="0"/>
    <xf numFmtId="185" fontId="79" fillId="0" borderId="0" applyNumberFormat="0" applyFill="0" applyBorder="0" applyAlignment="0" applyProtection="0"/>
    <xf numFmtId="185" fontId="80" fillId="0" borderId="9" applyNumberFormat="0" applyFill="0" applyAlignment="0" applyProtection="0"/>
    <xf numFmtId="185" fontId="55" fillId="0" borderId="0"/>
    <xf numFmtId="230" fontId="81" fillId="45" borderId="0" applyFont="0" applyFill="0" applyBorder="0" applyAlignment="0" applyProtection="0"/>
    <xf numFmtId="231" fontId="43" fillId="0" borderId="0" applyAlignment="0" applyProtection="0"/>
    <xf numFmtId="49" fontId="53" fillId="0" borderId="0" applyNumberFormat="0" applyAlignment="0" applyProtection="0">
      <alignment horizontal="left"/>
    </xf>
    <xf numFmtId="49" fontId="82" fillId="0" borderId="13" applyNumberFormat="0" applyAlignment="0" applyProtection="0">
      <alignment horizontal="left" wrapText="1"/>
    </xf>
    <xf numFmtId="49" fontId="83" fillId="0" borderId="0" applyAlignment="0" applyProtection="0">
      <alignment horizontal="left"/>
    </xf>
    <xf numFmtId="232" fontId="41" fillId="0" borderId="0" applyFont="0" applyFill="0" applyBorder="0" applyAlignment="0" applyProtection="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5" fillId="0" borderId="0"/>
    <xf numFmtId="233" fontId="43" fillId="0" borderId="0"/>
    <xf numFmtId="234" fontId="43" fillId="0" borderId="0"/>
    <xf numFmtId="235" fontId="43" fillId="0" borderId="0"/>
    <xf numFmtId="233" fontId="43" fillId="0" borderId="8"/>
    <xf numFmtId="234" fontId="43" fillId="0" borderId="8"/>
    <xf numFmtId="234" fontId="43" fillId="0" borderId="8"/>
    <xf numFmtId="235" fontId="43" fillId="0" borderId="8"/>
    <xf numFmtId="235" fontId="43" fillId="0" borderId="8"/>
    <xf numFmtId="233" fontId="43" fillId="0" borderId="8"/>
    <xf numFmtId="233" fontId="43" fillId="0" borderId="8"/>
    <xf numFmtId="233" fontId="43" fillId="0" borderId="0"/>
    <xf numFmtId="236" fontId="43" fillId="0" borderId="0"/>
    <xf numFmtId="185" fontId="45" fillId="0" borderId="0" applyFill="0" applyBorder="0" applyAlignment="0"/>
    <xf numFmtId="237" fontId="43" fillId="0" borderId="0"/>
    <xf numFmtId="238" fontId="43" fillId="0" borderId="0"/>
    <xf numFmtId="236" fontId="43" fillId="0" borderId="8"/>
    <xf numFmtId="237" fontId="43" fillId="0" borderId="8"/>
    <xf numFmtId="237" fontId="43" fillId="0" borderId="8"/>
    <xf numFmtId="238" fontId="43" fillId="0" borderId="8"/>
    <xf numFmtId="238" fontId="43" fillId="0" borderId="8"/>
    <xf numFmtId="236" fontId="43" fillId="0" borderId="8"/>
    <xf numFmtId="236" fontId="43" fillId="0" borderId="8"/>
    <xf numFmtId="236" fontId="43" fillId="0" borderId="0"/>
    <xf numFmtId="239" fontId="43" fillId="0" borderId="0">
      <alignment horizontal="right"/>
      <protection locked="0"/>
    </xf>
    <xf numFmtId="240" fontId="43" fillId="0" borderId="0">
      <alignment horizontal="right"/>
      <protection locked="0"/>
    </xf>
    <xf numFmtId="241" fontId="43" fillId="0" borderId="0"/>
    <xf numFmtId="242" fontId="43" fillId="0" borderId="0"/>
    <xf numFmtId="243" fontId="43" fillId="0" borderId="0"/>
    <xf numFmtId="241" fontId="43" fillId="0" borderId="8"/>
    <xf numFmtId="242" fontId="43" fillId="0" borderId="8"/>
    <xf numFmtId="242" fontId="43" fillId="0" borderId="8"/>
    <xf numFmtId="243" fontId="43" fillId="0" borderId="8"/>
    <xf numFmtId="243" fontId="43" fillId="0" borderId="8"/>
    <xf numFmtId="241" fontId="43" fillId="0" borderId="8"/>
    <xf numFmtId="241" fontId="43" fillId="0" borderId="8"/>
    <xf numFmtId="241" fontId="43" fillId="0" borderId="0"/>
    <xf numFmtId="244" fontId="9" fillId="46" borderId="0"/>
    <xf numFmtId="185" fontId="9" fillId="0" borderId="0">
      <alignment vertical="center"/>
    </xf>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194" fontId="88" fillId="61" borderId="14" applyNumberFormat="0" applyAlignment="0" applyProtection="0"/>
    <xf numFmtId="194" fontId="88" fillId="61" borderId="14" applyNumberFormat="0" applyAlignment="0" applyProtection="0"/>
    <xf numFmtId="38" fontId="89" fillId="0" borderId="0" applyNumberFormat="0" applyFill="0" applyBorder="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194" fontId="91" fillId="79" borderId="15" applyNumberFormat="0" applyAlignment="0" applyProtection="0"/>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7" fontId="64" fillId="0" borderId="9">
      <alignment horizontal="center"/>
    </xf>
    <xf numFmtId="37" fontId="64" fillId="0" borderId="0">
      <alignment horizontal="center" vertical="center" wrapText="1"/>
    </xf>
    <xf numFmtId="1" fontId="92" fillId="0" borderId="16">
      <alignment vertical="top"/>
    </xf>
    <xf numFmtId="178" fontId="93" fillId="0" borderId="0" applyBorder="0">
      <alignment horizontal="right"/>
    </xf>
    <xf numFmtId="178" fontId="93" fillId="0" borderId="17" applyAlignment="0">
      <alignment horizontal="right"/>
    </xf>
    <xf numFmtId="245" fontId="41" fillId="0" borderId="0"/>
    <xf numFmtId="245" fontId="41" fillId="0" borderId="0"/>
    <xf numFmtId="245" fontId="41" fillId="0" borderId="0"/>
    <xf numFmtId="245" fontId="41" fillId="0" borderId="0"/>
    <xf numFmtId="245" fontId="41" fillId="0" borderId="0"/>
    <xf numFmtId="245" fontId="41" fillId="0" borderId="0"/>
    <xf numFmtId="245" fontId="41" fillId="0" borderId="0"/>
    <xf numFmtId="245" fontId="41" fillId="0" borderId="0"/>
    <xf numFmtId="38" fontId="9" fillId="0" borderId="0" applyFont="0" applyFill="0" applyBorder="0" applyAlignment="0" applyProtection="0"/>
    <xf numFmtId="208" fontId="45" fillId="0" borderId="0" applyFont="0" applyFill="0" applyBorder="0" applyAlignment="0" applyProtection="0">
      <protection locked="0"/>
    </xf>
    <xf numFmtId="40" fontId="45" fillId="0" borderId="0" applyFont="0" applyFill="0" applyBorder="0" applyAlignment="0" applyProtection="0">
      <protection locked="0"/>
    </xf>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9" fillId="0" borderId="0" applyNumberFormat="0" applyFont="0" applyBorder="0" applyAlignment="0"/>
    <xf numFmtId="211" fontId="55" fillId="0" borderId="0"/>
    <xf numFmtId="246" fontId="57" fillId="0" borderId="0"/>
    <xf numFmtId="185" fontId="94" fillId="0" borderId="0" applyFont="0" applyFill="0" applyBorder="0" applyAlignment="0" applyProtection="0">
      <alignment horizontal="right"/>
    </xf>
    <xf numFmtId="247" fontId="94" fillId="0" borderId="0" applyFont="0" applyFill="0" applyBorder="0" applyAlignment="0" applyProtection="0"/>
    <xf numFmtId="185" fontId="94" fillId="0" borderId="0" applyFont="0" applyFill="0" applyBorder="0" applyAlignment="0" applyProtection="0">
      <alignment horizontal="right"/>
    </xf>
    <xf numFmtId="0"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246" fontId="12" fillId="0" borderId="0" applyFont="0" applyFill="0" applyBorder="0" applyAlignment="0" applyProtection="0"/>
    <xf numFmtId="179" fontId="12" fillId="0" borderId="0" applyFont="0" applyFill="0" applyBorder="0" applyAlignment="0" applyProtection="0"/>
    <xf numFmtId="197" fontId="12" fillId="0" borderId="0" applyFont="0" applyFill="0" applyBorder="0" applyAlignment="0" applyProtection="0"/>
    <xf numFmtId="179"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248" fontId="12" fillId="0" borderId="0" applyFont="0" applyFill="0" applyBorder="0" applyAlignment="0" applyProtection="0"/>
    <xf numFmtId="249" fontId="12" fillId="0" borderId="0" applyFont="0" applyFill="0" applyBorder="0" applyAlignment="0" applyProtection="0"/>
    <xf numFmtId="249" fontId="12" fillId="0" borderId="0" applyFont="0" applyFill="0" applyBorder="0" applyAlignment="0" applyProtection="0"/>
    <xf numFmtId="178" fontId="12" fillId="0" borderId="0" applyFont="0" applyFill="0" applyBorder="0" applyAlignment="0" applyProtection="0"/>
    <xf numFmtId="193" fontId="12" fillId="0" borderId="0" applyFont="0" applyFill="0" applyBorder="0" applyAlignment="0" applyProtection="0"/>
    <xf numFmtId="182" fontId="12" fillId="0" borderId="0" applyFont="0" applyFill="0" applyBorder="0" applyAlignment="0" applyProtection="0"/>
    <xf numFmtId="182" fontId="12" fillId="0" borderId="0" applyFont="0" applyFill="0" applyBorder="0" applyAlignment="0" applyProtection="0"/>
    <xf numFmtId="182"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8"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8"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250"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51" fontId="9" fillId="0" borderId="0" applyFont="0" applyFill="0" applyBorder="0" applyAlignment="0" applyProtection="0"/>
    <xf numFmtId="169" fontId="18"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52" fontId="9" fillId="0" borderId="0" applyFont="0" applyFill="0" applyBorder="0" applyAlignment="0" applyProtection="0"/>
    <xf numFmtId="38" fontId="41" fillId="0" borderId="0" applyFill="0" applyBorder="0" applyProtection="0">
      <alignment horizontal="center"/>
    </xf>
    <xf numFmtId="185" fontId="95" fillId="0" borderId="0">
      <protection locked="0"/>
    </xf>
    <xf numFmtId="253" fontId="9" fillId="0" borderId="0" applyBorder="0"/>
    <xf numFmtId="254" fontId="53" fillId="0" borderId="0" applyBorder="0"/>
    <xf numFmtId="255" fontId="9" fillId="0" borderId="0" applyFill="0" applyBorder="0">
      <alignment horizontal="left"/>
    </xf>
    <xf numFmtId="185" fontId="96" fillId="0" borderId="0" applyNumberFormat="0" applyAlignment="0">
      <alignment horizontal="left"/>
    </xf>
    <xf numFmtId="37" fontId="9" fillId="80" borderId="0" applyFont="0" applyBorder="0" applyAlignment="0" applyProtection="0"/>
    <xf numFmtId="197" fontId="50" fillId="80" borderId="0" applyFont="0" applyBorder="0" applyAlignment="0" applyProtection="0"/>
    <xf numFmtId="39" fontId="50" fillId="80" borderId="0" applyFont="0" applyBorder="0" applyAlignment="0" applyProtection="0"/>
    <xf numFmtId="256" fontId="97" fillId="0" borderId="0"/>
    <xf numFmtId="164" fontId="45" fillId="0" borderId="0" applyFont="0" applyFill="0" applyBorder="0" applyAlignment="0" applyProtection="0">
      <protection locked="0"/>
    </xf>
    <xf numFmtId="165" fontId="45" fillId="0" borderId="0" applyFont="0" applyFill="0" applyBorder="0" applyAlignment="0" applyProtection="0">
      <protection locked="0"/>
    </xf>
    <xf numFmtId="166" fontId="9" fillId="0" borderId="0">
      <alignment horizontal="right"/>
    </xf>
    <xf numFmtId="185" fontId="94" fillId="0" borderId="0" applyFont="0" applyFill="0" applyBorder="0" applyAlignment="0" applyProtection="0">
      <alignment horizontal="right"/>
    </xf>
    <xf numFmtId="257" fontId="28" fillId="0" borderId="0" applyFont="0" applyFill="0" applyBorder="0" applyAlignment="0" applyProtection="0"/>
    <xf numFmtId="258" fontId="9" fillId="0" borderId="0" applyFont="0" applyFill="0" applyBorder="0" applyAlignment="0" applyProtection="0"/>
    <xf numFmtId="185" fontId="94" fillId="0" borderId="0" applyFont="0" applyFill="0" applyBorder="0" applyAlignment="0" applyProtection="0">
      <alignment horizontal="right"/>
    </xf>
    <xf numFmtId="257" fontId="13" fillId="0" borderId="0" applyFont="0" applyFill="0" applyBorder="0" applyAlignment="0" applyProtection="0"/>
    <xf numFmtId="255" fontId="9"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59" fontId="9" fillId="0" borderId="0" applyFont="0" applyFill="0" applyBorder="0" applyAlignment="0" applyProtection="0"/>
    <xf numFmtId="185" fontId="9" fillId="0" borderId="0" applyFont="0" applyFill="0" applyBorder="0" applyAlignment="0" applyProtection="0"/>
    <xf numFmtId="49" fontId="98" fillId="81" borderId="0" applyAlignment="0" applyProtection="0">
      <alignment vertical="center"/>
    </xf>
    <xf numFmtId="260" fontId="44" fillId="46" borderId="11">
      <alignment horizontal="right"/>
    </xf>
    <xf numFmtId="261" fontId="41" fillId="0" borderId="0" applyFont="0" applyFill="0" applyBorder="0" applyAlignment="0" applyProtection="0"/>
    <xf numFmtId="233" fontId="43" fillId="45" borderId="18">
      <protection locked="0"/>
    </xf>
    <xf numFmtId="234" fontId="43" fillId="45" borderId="18">
      <protection locked="0"/>
    </xf>
    <xf numFmtId="235" fontId="43" fillId="45" borderId="18">
      <protection locked="0"/>
    </xf>
    <xf numFmtId="233" fontId="43" fillId="45" borderId="18">
      <protection locked="0"/>
    </xf>
    <xf numFmtId="236" fontId="43" fillId="45" borderId="18">
      <protection locked="0"/>
    </xf>
    <xf numFmtId="237" fontId="43" fillId="45" borderId="18">
      <protection locked="0"/>
    </xf>
    <xf numFmtId="238" fontId="43" fillId="45" borderId="18">
      <protection locked="0"/>
    </xf>
    <xf numFmtId="236" fontId="43" fillId="45" borderId="18">
      <protection locked="0"/>
    </xf>
    <xf numFmtId="239" fontId="43" fillId="37" borderId="18">
      <alignment horizontal="right"/>
      <protection locked="0"/>
    </xf>
    <xf numFmtId="240" fontId="43" fillId="37" borderId="18">
      <alignment horizontal="right"/>
      <protection locked="0"/>
    </xf>
    <xf numFmtId="0" fontId="43" fillId="82" borderId="18">
      <alignment horizontal="left"/>
      <protection locked="0"/>
    </xf>
    <xf numFmtId="49" fontId="43" fillId="38" borderId="18">
      <alignment horizontal="left" vertical="top" wrapText="1"/>
      <protection locked="0"/>
    </xf>
    <xf numFmtId="241" fontId="43" fillId="45" borderId="18">
      <protection locked="0"/>
    </xf>
    <xf numFmtId="242" fontId="43" fillId="45" borderId="18">
      <protection locked="0"/>
    </xf>
    <xf numFmtId="243" fontId="43" fillId="45" borderId="18">
      <protection locked="0"/>
    </xf>
    <xf numFmtId="241" fontId="43" fillId="45" borderId="18">
      <protection locked="0"/>
    </xf>
    <xf numFmtId="49" fontId="43" fillId="38" borderId="18">
      <alignment horizontal="left"/>
      <protection locked="0"/>
    </xf>
    <xf numFmtId="262" fontId="43" fillId="45" borderId="18">
      <alignment horizontal="left" indent="1"/>
      <protection locked="0"/>
    </xf>
    <xf numFmtId="263" fontId="9" fillId="45" borderId="19"/>
    <xf numFmtId="263" fontId="9" fillId="45" borderId="19"/>
    <xf numFmtId="263" fontId="9" fillId="45" borderId="19"/>
    <xf numFmtId="263" fontId="9" fillId="45" borderId="19"/>
    <xf numFmtId="263" fontId="9" fillId="45" borderId="19"/>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185" fontId="94" fillId="0" borderId="0" applyFont="0" applyFill="0" applyBorder="0" applyAlignment="0" applyProtection="0"/>
    <xf numFmtId="265" fontId="9" fillId="0" borderId="0" applyFont="0" applyFill="0" applyBorder="0" applyAlignment="0" applyProtection="0"/>
    <xf numFmtId="185" fontId="94" fillId="0" borderId="0" applyFont="0" applyFill="0" applyBorder="0" applyAlignment="0" applyProtection="0"/>
    <xf numFmtId="185" fontId="93" fillId="50" borderId="0">
      <alignment horizontal="left"/>
    </xf>
    <xf numFmtId="264" fontId="9" fillId="0" borderId="0" applyFill="0" applyBorder="0"/>
    <xf numFmtId="14" fontId="9" fillId="0" borderId="0"/>
    <xf numFmtId="266" fontId="9" fillId="0" borderId="0" applyFont="0" applyFill="0" applyBorder="0" applyAlignment="0" applyProtection="0"/>
    <xf numFmtId="267" fontId="9" fillId="0" borderId="0" applyFont="0" applyFill="0" applyBorder="0" applyProtection="0">
      <alignment vertical="top"/>
    </xf>
    <xf numFmtId="267" fontId="9" fillId="0" borderId="0" applyFont="0" applyFill="0" applyBorder="0" applyProtection="0">
      <alignment vertical="top"/>
    </xf>
    <xf numFmtId="267" fontId="9" fillId="0" borderId="0" applyFont="0" applyFill="0" applyBorder="0" applyProtection="0">
      <alignment vertical="top"/>
    </xf>
    <xf numFmtId="268" fontId="9" fillId="0" borderId="0" applyFont="0" applyFill="0" applyBorder="0" applyAlignment="0" applyProtection="0"/>
    <xf numFmtId="267" fontId="9" fillId="0" borderId="0" applyFont="0" applyFill="0" applyBorder="0" applyProtection="0">
      <alignment vertical="top"/>
    </xf>
    <xf numFmtId="268" fontId="9" fillId="0" borderId="0" applyFont="0" applyFill="0" applyBorder="0" applyAlignment="0" applyProtection="0"/>
    <xf numFmtId="269" fontId="9" fillId="0" borderId="0" applyFont="0" applyFill="0" applyBorder="0" applyProtection="0">
      <alignment vertical="top"/>
    </xf>
    <xf numFmtId="269" fontId="9" fillId="0" borderId="0" applyFont="0" applyFill="0" applyBorder="0" applyProtection="0">
      <alignment vertical="top"/>
    </xf>
    <xf numFmtId="269" fontId="9" fillId="0" borderId="0" applyFont="0" applyFill="0" applyBorder="0" applyProtection="0">
      <alignment vertical="top"/>
    </xf>
    <xf numFmtId="269" fontId="9" fillId="0" borderId="0" applyFont="0" applyFill="0" applyBorder="0" applyProtection="0">
      <alignment vertical="top"/>
    </xf>
    <xf numFmtId="216" fontId="57" fillId="0" borderId="0">
      <alignment horizontal="right"/>
    </xf>
    <xf numFmtId="211" fontId="57" fillId="0" borderId="0">
      <alignment horizontal="right"/>
      <protection locked="0"/>
    </xf>
    <xf numFmtId="211" fontId="57" fillId="0" borderId="0"/>
    <xf numFmtId="270" fontId="57" fillId="0" borderId="0">
      <alignment horizontal="right"/>
      <protection locked="0"/>
    </xf>
    <xf numFmtId="211" fontId="58" fillId="0" borderId="0"/>
    <xf numFmtId="271" fontId="53" fillId="83" borderId="0" applyAlignment="0" applyProtection="0">
      <alignment horizontal="right"/>
    </xf>
    <xf numFmtId="272" fontId="9" fillId="0" borderId="0" applyFont="0" applyFill="0" applyBorder="0" applyAlignment="0" applyProtection="0"/>
    <xf numFmtId="171" fontId="9" fillId="0" borderId="0" applyFont="0" applyFill="0" applyBorder="0" applyAlignment="0" applyProtection="0"/>
    <xf numFmtId="208" fontId="65" fillId="46" borderId="0" applyNumberFormat="0" applyFont="0" applyBorder="0" applyAlignment="0" applyProtection="0"/>
    <xf numFmtId="165" fontId="41" fillId="0" borderId="0" applyFill="0" applyBorder="0" applyProtection="0">
      <alignment horizontal="center"/>
    </xf>
    <xf numFmtId="164" fontId="41" fillId="0" borderId="0">
      <alignment horizontal="center"/>
    </xf>
    <xf numFmtId="165" fontId="41" fillId="0" borderId="0" applyFill="0" applyBorder="0" applyProtection="0">
      <alignment horizontal="center"/>
    </xf>
    <xf numFmtId="255" fontId="99" fillId="0" borderId="0">
      <alignment horizontal="center"/>
    </xf>
    <xf numFmtId="185" fontId="94" fillId="0" borderId="20" applyNumberFormat="0" applyFont="0" applyFill="0" applyAlignment="0" applyProtection="0"/>
    <xf numFmtId="214" fontId="100" fillId="0" borderId="21"/>
    <xf numFmtId="215" fontId="57" fillId="0" borderId="0"/>
    <xf numFmtId="38" fontId="49" fillId="0" borderId="0" applyFont="0" applyFill="0" applyBorder="0" applyAlignment="0" applyProtection="0"/>
    <xf numFmtId="185" fontId="101" fillId="0" borderId="0" applyFont="0" applyFill="0" applyBorder="0" applyAlignment="0" applyProtection="0"/>
    <xf numFmtId="185" fontId="102" fillId="0" borderId="0" applyNumberFormat="0" applyAlignment="0">
      <alignment horizontal="left"/>
    </xf>
    <xf numFmtId="273" fontId="44" fillId="0" borderId="0"/>
    <xf numFmtId="274" fontId="44" fillId="0" borderId="0"/>
    <xf numFmtId="275" fontId="44" fillId="0" borderId="0"/>
    <xf numFmtId="276" fontId="44" fillId="0" borderId="0"/>
    <xf numFmtId="277" fontId="44" fillId="0" borderId="0"/>
    <xf numFmtId="278" fontId="44" fillId="0" borderId="0"/>
    <xf numFmtId="194" fontId="4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279" fontId="9" fillId="0" borderId="0" applyFont="0" applyFill="0" applyBorder="0" applyAlignment="0" applyProtection="0"/>
    <xf numFmtId="280" fontId="9" fillId="0" borderId="0" applyFont="0" applyFill="0" applyBorder="0" applyAlignment="0" applyProtection="0"/>
    <xf numFmtId="281" fontId="9" fillId="0" borderId="0" applyFont="0" applyFill="0" applyBorder="0" applyAlignment="0" applyProtection="0"/>
    <xf numFmtId="185" fontId="9" fillId="0" borderId="0" applyFon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194" fontId="105" fillId="0" borderId="0" applyNumberFormat="0" applyFill="0" applyBorder="0" applyAlignment="0" applyProtection="0"/>
    <xf numFmtId="0" fontId="41" fillId="79" borderId="0" applyNumberFormat="0" applyFont="0" applyBorder="0" applyAlignment="0" applyProtection="0"/>
    <xf numFmtId="0" fontId="41" fillId="79" borderId="0" applyNumberFormat="0" applyFont="0" applyBorder="0" applyAlignment="0" applyProtection="0"/>
    <xf numFmtId="0" fontId="106" fillId="0" borderId="0" applyNumberFormat="0" applyFill="0" applyBorder="0" applyAlignment="0" applyProtection="0"/>
    <xf numFmtId="282" fontId="107" fillId="0" borderId="0" applyFill="0" applyBorder="0"/>
    <xf numFmtId="15" fontId="18" fillId="0" borderId="0" applyFill="0" applyBorder="0" applyProtection="0">
      <alignment horizontal="center"/>
    </xf>
    <xf numFmtId="0" fontId="41" fillId="20" borderId="0" applyNumberFormat="0" applyFont="0" applyBorder="0" applyAlignment="0" applyProtection="0"/>
    <xf numFmtId="0" fontId="41" fillId="20" borderId="0" applyNumberFormat="0" applyFont="0" applyBorder="0" applyAlignment="0" applyProtection="0"/>
    <xf numFmtId="283" fontId="108" fillId="0" borderId="0" applyFill="0" applyBorder="0" applyProtection="0"/>
    <xf numFmtId="284" fontId="19" fillId="61" borderId="2" applyAlignment="0" applyProtection="0"/>
    <xf numFmtId="284" fontId="19" fillId="61" borderId="2" applyAlignment="0" applyProtection="0"/>
    <xf numFmtId="285" fontId="109" fillId="0" borderId="0" applyNumberFormat="0" applyFill="0" applyBorder="0" applyAlignment="0" applyProtection="0"/>
    <xf numFmtId="285" fontId="110" fillId="0" borderId="0" applyNumberFormat="0" applyFill="0" applyBorder="0" applyAlignment="0" applyProtection="0"/>
    <xf numFmtId="15" fontId="106" fillId="45" borderId="18">
      <alignment horizontal="center"/>
      <protection locked="0"/>
    </xf>
    <xf numFmtId="286" fontId="106" fillId="45" borderId="18" applyAlignment="0">
      <protection locked="0"/>
    </xf>
    <xf numFmtId="287" fontId="106" fillId="45" borderId="18" applyAlignment="0">
      <protection locked="0"/>
    </xf>
    <xf numFmtId="287" fontId="18" fillId="0" borderId="0" applyFill="0" applyBorder="0" applyAlignment="0" applyProtection="0"/>
    <xf numFmtId="288" fontId="18" fillId="0" borderId="0" applyFill="0" applyBorder="0" applyAlignment="0" applyProtection="0"/>
    <xf numFmtId="288" fontId="18" fillId="0" borderId="0" applyFill="0" applyBorder="0" applyAlignment="0" applyProtection="0"/>
    <xf numFmtId="289" fontId="18" fillId="0" borderId="0" applyFill="0" applyBorder="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28" borderId="0" applyNumberFormat="0" applyFont="0" applyBorder="0" applyAlignment="0" applyProtection="0"/>
    <xf numFmtId="0" fontId="41" fillId="28" borderId="0" applyNumberFormat="0" applyFont="0" applyBorder="0" applyAlignment="0" applyProtection="0"/>
    <xf numFmtId="167" fontId="9" fillId="0" borderId="0" applyFont="0" applyFill="0" applyBorder="0" applyAlignment="0" applyProtection="0"/>
    <xf numFmtId="169" fontId="9" fillId="0" borderId="0" applyFont="0" applyFill="0" applyBorder="0" applyAlignment="0" applyProtection="0"/>
    <xf numFmtId="290" fontId="9" fillId="0" borderId="0" applyFont="0" applyFill="0" applyBorder="0" applyAlignment="0" applyProtection="0"/>
    <xf numFmtId="291" fontId="9" fillId="0" borderId="0" applyFont="0" applyFill="0" applyBorder="0" applyProtection="0">
      <alignment vertical="top"/>
    </xf>
    <xf numFmtId="291" fontId="9" fillId="0" borderId="0" applyFont="0" applyFill="0" applyBorder="0" applyProtection="0">
      <alignment vertical="top"/>
    </xf>
    <xf numFmtId="291" fontId="9" fillId="0" borderId="0" applyFont="0" applyFill="0" applyBorder="0" applyProtection="0">
      <alignment vertical="top"/>
    </xf>
    <xf numFmtId="291" fontId="9" fillId="0" borderId="0" applyFont="0" applyFill="0" applyBorder="0" applyProtection="0">
      <alignment vertical="top"/>
    </xf>
    <xf numFmtId="1" fontId="111" fillId="84" borderId="24" applyNumberFormat="0" applyBorder="0" applyAlignment="0">
      <alignment horizontal="centerContinuous" vertical="center"/>
      <protection locked="0"/>
    </xf>
    <xf numFmtId="185" fontId="95" fillId="0" borderId="0">
      <protection locked="0"/>
    </xf>
    <xf numFmtId="255" fontId="112" fillId="0" borderId="0"/>
    <xf numFmtId="255" fontId="112" fillId="0" borderId="0"/>
    <xf numFmtId="185" fontId="113" fillId="0" borderId="0"/>
    <xf numFmtId="185" fontId="114" fillId="0" borderId="0" applyFill="0" applyBorder="0" applyProtection="0">
      <alignment horizontal="left"/>
    </xf>
    <xf numFmtId="4" fontId="115" fillId="0" borderId="0">
      <protection locked="0"/>
    </xf>
    <xf numFmtId="0" fontId="98" fillId="19" borderId="0" applyAlignment="0" applyProtection="0">
      <alignment horizontal="right" vertical="center"/>
    </xf>
    <xf numFmtId="256" fontId="116" fillId="0" borderId="0"/>
    <xf numFmtId="274" fontId="44" fillId="0" borderId="25"/>
    <xf numFmtId="292" fontId="44" fillId="46" borderId="11">
      <alignment horizontal="right"/>
    </xf>
    <xf numFmtId="293" fontId="9" fillId="0" borderId="0" applyFont="0" applyFill="0" applyBorder="0" applyAlignment="0" applyProtection="0"/>
    <xf numFmtId="294" fontId="117" fillId="0" borderId="0" applyFont="0" applyFill="0" applyBorder="0" applyAlignment="0" applyProtection="0"/>
    <xf numFmtId="295" fontId="9" fillId="0" borderId="0" applyFont="0" applyFill="0" applyBorder="0" applyAlignment="0" applyProtection="0"/>
    <xf numFmtId="296" fontId="117"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194" fontId="119" fillId="57" borderId="0" applyNumberFormat="0" applyBorder="0" applyAlignment="0" applyProtection="0"/>
    <xf numFmtId="2" fontId="120" fillId="50" borderId="11" applyProtection="0">
      <alignment horizontal="left"/>
      <protection locked="0"/>
    </xf>
    <xf numFmtId="38" fontId="53" fillId="46" borderId="0" applyNumberFormat="0" applyBorder="0" applyAlignment="0" applyProtection="0"/>
    <xf numFmtId="0" fontId="9" fillId="61" borderId="0" applyNumberFormat="0" applyFont="0" applyBorder="0" applyAlignment="0" applyProtection="0"/>
    <xf numFmtId="297" fontId="93" fillId="36" borderId="26" applyNumberFormat="0" applyFont="0" applyAlignment="0"/>
    <xf numFmtId="185" fontId="94" fillId="0" borderId="0" applyFont="0" applyFill="0" applyBorder="0" applyAlignment="0" applyProtection="0">
      <alignment horizontal="right"/>
    </xf>
    <xf numFmtId="185" fontId="121" fillId="0" borderId="0" applyProtection="0">
      <alignment horizontal="right"/>
    </xf>
    <xf numFmtId="185" fontId="78" fillId="0" borderId="27" applyNumberFormat="0" applyAlignment="0" applyProtection="0">
      <alignment horizontal="left" vertical="center"/>
    </xf>
    <xf numFmtId="185" fontId="78" fillId="0" borderId="28">
      <alignment horizontal="left" vertical="center"/>
    </xf>
    <xf numFmtId="2" fontId="74" fillId="76" borderId="0" applyAlignment="0">
      <alignment horizontal="right"/>
      <protection locked="0"/>
    </xf>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194" fontId="124" fillId="0" borderId="30"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194" fontId="127" fillId="0" borderId="31"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194" fontId="130" fillId="0" borderId="32" applyNumberFormat="0" applyFill="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194" fontId="130" fillId="0" borderId="0" applyNumberFormat="0" applyFill="0" applyBorder="0" applyAlignment="0" applyProtection="0"/>
    <xf numFmtId="185" fontId="41" fillId="0" borderId="0">
      <protection locked="0"/>
    </xf>
    <xf numFmtId="185" fontId="41" fillId="0" borderId="0">
      <protection locked="0"/>
    </xf>
    <xf numFmtId="298" fontId="131" fillId="0" borderId="0">
      <alignment horizontal="right"/>
    </xf>
    <xf numFmtId="299" fontId="61" fillId="0" borderId="0" applyAlignment="0">
      <alignment horizontal="right"/>
      <protection hidden="1"/>
    </xf>
    <xf numFmtId="185" fontId="106" fillId="0" borderId="33" applyNumberFormat="0" applyFill="0" applyAlignment="0" applyProtection="0"/>
    <xf numFmtId="208" fontId="132" fillId="0" borderId="0" applyNumberFormat="0" applyBorder="0" applyAlignment="0" applyProtection="0">
      <alignment horizontal="right" wrapText="1"/>
    </xf>
    <xf numFmtId="0" fontId="34"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94" fontId="136"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194" fontId="140" fillId="0" borderId="0" applyNumberFormat="0" applyFill="0" applyBorder="0" applyAlignment="0" applyProtection="0">
      <alignment vertical="top"/>
      <protection locked="0"/>
    </xf>
    <xf numFmtId="185" fontId="141" fillId="0" borderId="0">
      <alignment wrapText="1"/>
    </xf>
    <xf numFmtId="10" fontId="53" fillId="36" borderId="26" applyNumberFormat="0" applyBorder="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194" fontId="144" fillId="60" borderId="34" applyNumberFormat="0" applyAlignment="0" applyProtection="0"/>
    <xf numFmtId="194" fontId="144" fillId="60" borderId="34" applyNumberFormat="0" applyAlignment="0" applyProtection="0"/>
    <xf numFmtId="0" fontId="53" fillId="0" borderId="0" applyNumberFormat="0" applyFill="0" applyBorder="0" applyAlignment="0">
      <protection locked="0"/>
    </xf>
    <xf numFmtId="0" fontId="145" fillId="34" borderId="0"/>
    <xf numFmtId="244" fontId="64" fillId="86" borderId="0">
      <protection locked="0"/>
    </xf>
    <xf numFmtId="300" fontId="41" fillId="0" borderId="0"/>
    <xf numFmtId="0" fontId="146" fillId="0" borderId="0"/>
    <xf numFmtId="38" fontId="147" fillId="0" borderId="0"/>
    <xf numFmtId="38" fontId="148" fillId="0" borderId="0"/>
    <xf numFmtId="38" fontId="149" fillId="0" borderId="0"/>
    <xf numFmtId="38" fontId="150" fillId="0" borderId="0"/>
    <xf numFmtId="0" fontId="67" fillId="0" borderId="0"/>
    <xf numFmtId="0" fontId="67" fillId="0" borderId="0"/>
    <xf numFmtId="0" fontId="67" fillId="0" borderId="0"/>
    <xf numFmtId="0" fontId="43" fillId="0" borderId="0"/>
    <xf numFmtId="0" fontId="151" fillId="0" borderId="0"/>
    <xf numFmtId="0" fontId="152" fillId="0" borderId="0">
      <alignment horizontal="center"/>
    </xf>
    <xf numFmtId="301" fontId="153" fillId="0" borderId="0" applyFont="0" applyFill="0" applyBorder="0" applyAlignment="0" applyProtection="0"/>
    <xf numFmtId="185" fontId="9" fillId="0" borderId="0" applyNumberFormat="0" applyFont="0" applyFill="0" applyBorder="0" applyProtection="0">
      <alignment horizontal="left" vertical="center"/>
    </xf>
    <xf numFmtId="173" fontId="36" fillId="2" borderId="0"/>
    <xf numFmtId="173" fontId="37" fillId="53" borderId="0"/>
    <xf numFmtId="185" fontId="53" fillId="46" borderId="0"/>
    <xf numFmtId="38" fontId="154" fillId="0" borderId="0" applyNumberFormat="0" applyFill="0" applyBorder="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194" fontId="157" fillId="0" borderId="36" applyNumberFormat="0" applyFill="0" applyAlignment="0" applyProtection="0"/>
    <xf numFmtId="0" fontId="98" fillId="87" borderId="0" applyAlignment="0" applyProtection="0">
      <alignment horizontal="right" vertical="center"/>
    </xf>
    <xf numFmtId="201" fontId="54" fillId="0" borderId="0" applyFont="0" applyFill="0" applyBorder="0" applyAlignment="0" applyProtection="0">
      <alignment horizontal="right"/>
    </xf>
    <xf numFmtId="302"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303"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40" fontId="158" fillId="0" borderId="0">
      <alignment horizontal="right"/>
    </xf>
    <xf numFmtId="37" fontId="159" fillId="0" borderId="0"/>
    <xf numFmtId="185" fontId="160" fillId="0" borderId="0">
      <alignment vertical="center"/>
    </xf>
    <xf numFmtId="185" fontId="9" fillId="0" borderId="0" applyNumberFormat="0" applyFill="0" applyBorder="0" applyAlignment="0" applyProtection="0"/>
    <xf numFmtId="169"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304" fontId="9" fillId="0" borderId="0" applyFont="0" applyFill="0" applyBorder="0" applyAlignment="0" applyProtection="0"/>
    <xf numFmtId="305" fontId="44" fillId="0" borderId="0">
      <alignment horizontal="right"/>
    </xf>
    <xf numFmtId="185" fontId="161" fillId="0" borderId="17"/>
    <xf numFmtId="306" fontId="49" fillId="0" borderId="0" applyFont="0" applyFill="0" applyBorder="0" applyAlignment="0" applyProtection="0"/>
    <xf numFmtId="307" fontId="4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308" fontId="53" fillId="36" borderId="0">
      <alignment horizontal="center"/>
    </xf>
    <xf numFmtId="309" fontId="41" fillId="0" borderId="0" applyFill="0" applyBorder="0" applyProtection="0">
      <alignment horizontal="center"/>
    </xf>
    <xf numFmtId="310" fontId="41" fillId="0" borderId="0" applyFont="0" applyFill="0" applyBorder="0" applyAlignment="0" applyProtection="0">
      <alignment horizontal="centerContinuous"/>
      <protection locked="0"/>
    </xf>
    <xf numFmtId="49" fontId="162" fillId="81" borderId="0" applyAlignment="0" applyProtection="0">
      <alignment horizontal="centerContinuous" vertical="center"/>
    </xf>
    <xf numFmtId="311" fontId="53" fillId="0" borderId="0" applyFont="0" applyFill="0" applyBorder="0" applyAlignment="0" applyProtection="0">
      <alignment horizontal="right"/>
    </xf>
    <xf numFmtId="0" fontId="81" fillId="0" borderId="0">
      <alignment horizontal="right"/>
    </xf>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194" fontId="164" fillId="18" borderId="0" applyNumberFormat="0" applyBorder="0" applyAlignment="0" applyProtection="0"/>
    <xf numFmtId="37" fontId="165" fillId="0" borderId="0"/>
    <xf numFmtId="298" fontId="166" fillId="0" borderId="0"/>
    <xf numFmtId="312" fontId="45" fillId="0" borderId="0"/>
    <xf numFmtId="312" fontId="45" fillId="0" borderId="9"/>
    <xf numFmtId="312" fontId="45" fillId="0" borderId="37"/>
    <xf numFmtId="312" fontId="45" fillId="0" borderId="0"/>
    <xf numFmtId="313" fontId="57" fillId="0" borderId="0"/>
    <xf numFmtId="314" fontId="57" fillId="0" borderId="0"/>
    <xf numFmtId="315" fontId="57" fillId="0" borderId="0"/>
    <xf numFmtId="316" fontId="53" fillId="0" borderId="0"/>
    <xf numFmtId="317" fontId="53" fillId="0" borderId="0"/>
    <xf numFmtId="38" fontId="9" fillId="0" borderId="0" applyFont="0" applyFill="0" applyBorder="0" applyAlignment="0" applyProtection="0"/>
    <xf numFmtId="0" fontId="7" fillId="0" borderId="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7"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2" fillId="0" borderId="0"/>
    <xf numFmtId="0" fontId="13" fillId="0" borderId="0"/>
    <xf numFmtId="19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0" fontId="9"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9" fillId="0" borderId="0"/>
    <xf numFmtId="18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18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24"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12" fillId="0" borderId="0"/>
    <xf numFmtId="0" fontId="12" fillId="0" borderId="0"/>
    <xf numFmtId="0" fontId="12" fillId="0" borderId="0"/>
    <xf numFmtId="0" fontId="12" fillId="0" borderId="0"/>
    <xf numFmtId="0" fontId="12" fillId="0" borderId="0"/>
    <xf numFmtId="185"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9" fillId="0" borderId="0"/>
    <xf numFmtId="0" fontId="12" fillId="0" borderId="0" applyFont="0" applyFill="0" applyBorder="0" applyAlignment="0" applyProtection="0"/>
    <xf numFmtId="0" fontId="12" fillId="0" borderId="0" applyFont="0" applyFill="0" applyBorder="0" applyAlignment="0" applyProtection="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xf numFmtId="0" fontId="9" fillId="0" borderId="0"/>
    <xf numFmtId="0" fontId="12" fillId="0" borderId="0" applyFont="0" applyFill="0" applyBorder="0" applyAlignment="0" applyProtection="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12" fillId="0" borderId="0" applyFont="0" applyFill="0" applyBorder="0" applyAlignment="0" applyProtection="0"/>
    <xf numFmtId="0" fontId="9" fillId="0" borderId="0"/>
    <xf numFmtId="0" fontId="9" fillId="0" borderId="0"/>
    <xf numFmtId="0" fontId="12" fillId="0" borderId="0" applyFont="0" applyFill="0" applyBorder="0" applyAlignment="0" applyProtection="0"/>
    <xf numFmtId="0" fontId="9" fillId="0" borderId="0"/>
    <xf numFmtId="0" fontId="12" fillId="0" borderId="0"/>
    <xf numFmtId="0" fontId="9" fillId="0" borderId="0"/>
    <xf numFmtId="0" fontId="12" fillId="0" borderId="0" applyFont="0" applyFill="0" applyBorder="0" applyAlignment="0" applyProtection="0"/>
    <xf numFmtId="0" fontId="9" fillId="0" borderId="0"/>
    <xf numFmtId="0" fontId="9" fillId="0" borderId="0"/>
    <xf numFmtId="0" fontId="12" fillId="0" borderId="0" applyFont="0" applyFill="0" applyBorder="0" applyAlignment="0" applyProtection="0"/>
    <xf numFmtId="0" fontId="9" fillId="0" borderId="0"/>
    <xf numFmtId="0" fontId="12" fillId="0" borderId="0"/>
    <xf numFmtId="0" fontId="12" fillId="0" borderId="0"/>
    <xf numFmtId="0" fontId="12" fillId="0" borderId="0" applyFont="0" applyFill="0" applyBorder="0" applyAlignment="0" applyProtection="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12" fillId="0" borderId="0"/>
    <xf numFmtId="0" fontId="12"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7" fillId="0" borderId="0"/>
    <xf numFmtId="0" fontId="7" fillId="0" borderId="0"/>
    <xf numFmtId="0" fontId="7"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94" fontId="10"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7" fillId="0" borderId="0"/>
    <xf numFmtId="0" fontId="10" fillId="0" borderId="0"/>
    <xf numFmtId="194" fontId="10"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6" fillId="0" borderId="0"/>
    <xf numFmtId="0" fontId="9" fillId="0" borderId="0"/>
    <xf numFmtId="185" fontId="9"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194"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9" fontId="7" fillId="0" borderId="0"/>
    <xf numFmtId="179" fontId="24" fillId="0" borderId="0"/>
    <xf numFmtId="179" fontId="24" fillId="0" borderId="0"/>
    <xf numFmtId="179" fontId="24" fillId="0" borderId="0"/>
    <xf numFmtId="179" fontId="24" fillId="0" borderId="0"/>
    <xf numFmtId="179" fontId="24" fillId="0" borderId="0"/>
    <xf numFmtId="179" fontId="7" fillId="0" borderId="0"/>
    <xf numFmtId="179" fontId="24" fillId="0" borderId="0"/>
    <xf numFmtId="179" fontId="24" fillId="0" borderId="0"/>
    <xf numFmtId="179" fontId="24" fillId="0" borderId="0"/>
    <xf numFmtId="179" fontId="24" fillId="0" borderId="0"/>
    <xf numFmtId="179" fontId="7" fillId="0" borderId="0"/>
    <xf numFmtId="179" fontId="7" fillId="0" borderId="0"/>
    <xf numFmtId="179" fontId="7" fillId="0" borderId="0"/>
    <xf numFmtId="179" fontId="7" fillId="0" borderId="0"/>
    <xf numFmtId="179" fontId="24" fillId="0" borderId="0"/>
    <xf numFmtId="179" fontId="24" fillId="0" borderId="0"/>
    <xf numFmtId="179" fontId="24" fillId="0" borderId="0"/>
    <xf numFmtId="179" fontId="24" fillId="0" borderId="0"/>
    <xf numFmtId="179" fontId="7" fillId="0" borderId="0"/>
    <xf numFmtId="179" fontId="7" fillId="0" borderId="0"/>
    <xf numFmtId="179" fontId="7" fillId="0" borderId="0"/>
    <xf numFmtId="179" fontId="7" fillId="0" borderId="0"/>
    <xf numFmtId="179" fontId="24" fillId="0" borderId="0"/>
    <xf numFmtId="179" fontId="24" fillId="0" borderId="0"/>
    <xf numFmtId="179"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94" fontId="7" fillId="0" borderId="0"/>
    <xf numFmtId="0" fontId="28" fillId="0" borderId="0" applyFill="0" applyBorder="0" applyAlignment="0" applyProtection="0"/>
    <xf numFmtId="0" fontId="28"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applyFill="0" applyBorder="0" applyAlignment="0" applyProtection="0"/>
    <xf numFmtId="0" fontId="2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7" fillId="0" borderId="0"/>
    <xf numFmtId="0" fontId="24" fillId="0" borderId="0"/>
    <xf numFmtId="0" fontId="9" fillId="0" borderId="0"/>
    <xf numFmtId="0" fontId="9" fillId="0" borderId="0"/>
    <xf numFmtId="0" fontId="7" fillId="0" borderId="0"/>
    <xf numFmtId="0" fontId="9"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6"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8" fillId="0" borderId="0"/>
    <xf numFmtId="0" fontId="9" fillId="0" borderId="0" applyNumberFormat="0" applyFont="0" applyFill="0" applyBorder="0" applyAlignment="0" applyProtection="0"/>
    <xf numFmtId="0" fontId="18" fillId="0" borderId="0"/>
    <xf numFmtId="0" fontId="18" fillId="0" borderId="0"/>
    <xf numFmtId="0" fontId="18" fillId="0" borderId="0"/>
    <xf numFmtId="0" fontId="6" fillId="0" borderId="0"/>
    <xf numFmtId="0" fontId="28" fillId="0" borderId="0"/>
    <xf numFmtId="0" fontId="28" fillId="0" borderId="0"/>
    <xf numFmtId="0" fontId="9" fillId="0" borderId="0" applyNumberFormat="0" applyFont="0" applyFill="0" applyBorder="0" applyAlignment="0" applyProtection="0"/>
    <xf numFmtId="0" fontId="28"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8"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25" fillId="0" borderId="0">
      <alignment vertical="top"/>
    </xf>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318" fontId="55" fillId="0" borderId="37"/>
    <xf numFmtId="0" fontId="106" fillId="0" borderId="0" applyFill="0" applyBorder="0">
      <protection locked="0"/>
    </xf>
    <xf numFmtId="185" fontId="9" fillId="0" borderId="0"/>
    <xf numFmtId="185" fontId="168" fillId="0" borderId="0"/>
    <xf numFmtId="185" fontId="169" fillId="0" borderId="0"/>
    <xf numFmtId="185" fontId="170" fillId="0" borderId="0"/>
    <xf numFmtId="185" fontId="171" fillId="0" borderId="0"/>
    <xf numFmtId="185" fontId="50" fillId="0" borderId="0"/>
    <xf numFmtId="38" fontId="172" fillId="0" borderId="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194" fontId="9" fillId="34" borderId="38" applyNumberFormat="0" applyFont="0" applyAlignment="0" applyProtection="0"/>
    <xf numFmtId="194" fontId="9" fillId="34" borderId="38" applyNumberFormat="0" applyFont="0" applyAlignment="0" applyProtection="0"/>
    <xf numFmtId="0" fontId="173" fillId="83" borderId="0" applyAlignment="0" applyProtection="0">
      <alignment horizontal="left" vertical="top" wrapText="1"/>
    </xf>
    <xf numFmtId="285" fontId="9" fillId="45" borderId="39" applyFont="0" applyFill="0" applyBorder="0" applyAlignment="0" applyProtection="0">
      <protection locked="0"/>
    </xf>
    <xf numFmtId="37" fontId="9" fillId="0" borderId="0"/>
    <xf numFmtId="319" fontId="40" fillId="50" borderId="40" applyNumberFormat="0">
      <alignment vertical="center"/>
    </xf>
    <xf numFmtId="319" fontId="40" fillId="88" borderId="40" applyNumberFormat="0">
      <alignment vertical="center"/>
    </xf>
    <xf numFmtId="319" fontId="40" fillId="40" borderId="40" applyNumberFormat="0">
      <alignment vertical="center"/>
    </xf>
    <xf numFmtId="319" fontId="40" fillId="38" borderId="40" applyNumberFormat="0">
      <alignment vertical="center"/>
    </xf>
    <xf numFmtId="319" fontId="40" fillId="89" borderId="40" applyNumberFormat="0">
      <alignment vertical="center"/>
    </xf>
    <xf numFmtId="319" fontId="40" fillId="46" borderId="40" applyNumberFormat="0">
      <alignment vertical="center"/>
    </xf>
    <xf numFmtId="319" fontId="40" fillId="90" borderId="40" applyNumberFormat="0">
      <alignment vertical="center"/>
    </xf>
    <xf numFmtId="319" fontId="40" fillId="80" borderId="40" applyNumberFormat="0">
      <alignment vertical="center"/>
    </xf>
    <xf numFmtId="319" fontId="40" fillId="91" borderId="40" applyNumberFormat="0">
      <alignment vertical="center"/>
    </xf>
    <xf numFmtId="319" fontId="40" fillId="92" borderId="40" applyNumberFormat="0">
      <alignment vertical="center"/>
    </xf>
    <xf numFmtId="319" fontId="174" fillId="45" borderId="40">
      <protection locked="0"/>
    </xf>
    <xf numFmtId="319" fontId="174" fillId="37" borderId="40">
      <protection locked="0"/>
    </xf>
    <xf numFmtId="319" fontId="175" fillId="37" borderId="41" applyNumberFormat="0" applyFont="0" applyFill="0" applyAlignment="0" applyProtection="0">
      <protection locked="0"/>
    </xf>
    <xf numFmtId="319" fontId="81" fillId="0" borderId="0" applyNumberFormat="0" applyFill="0">
      <alignment horizontal="left" vertical="top"/>
    </xf>
    <xf numFmtId="0" fontId="176" fillId="93" borderId="0" applyNumberFormat="0">
      <alignment horizontal="left" vertical="center" indent="1"/>
    </xf>
    <xf numFmtId="0" fontId="177" fillId="94" borderId="0" applyNumberFormat="0">
      <alignment vertical="center"/>
    </xf>
    <xf numFmtId="0" fontId="78" fillId="46" borderId="0">
      <alignment vertical="center"/>
    </xf>
    <xf numFmtId="0" fontId="178" fillId="0" borderId="42">
      <alignment vertical="center"/>
    </xf>
    <xf numFmtId="0" fontId="39" fillId="95" borderId="26" applyNumberFormat="0" applyFont="0" applyAlignment="0">
      <alignment vertical="center"/>
    </xf>
    <xf numFmtId="0" fontId="39" fillId="45" borderId="26" applyNumberFormat="0" applyFont="0" applyAlignment="0">
      <alignment vertical="center"/>
    </xf>
    <xf numFmtId="0" fontId="39" fillId="37" borderId="26" applyNumberFormat="0" applyFont="0" applyAlignment="0">
      <alignment vertical="center"/>
    </xf>
    <xf numFmtId="0" fontId="39" fillId="96" borderId="26" applyNumberFormat="0" applyFont="0" applyAlignment="0">
      <alignment vertical="center"/>
    </xf>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97" borderId="0">
      <alignment horizontal="right"/>
    </xf>
    <xf numFmtId="0" fontId="179" fillId="0" borderId="0">
      <alignment horizontal="left"/>
    </xf>
    <xf numFmtId="3" fontId="180" fillId="0" borderId="0" applyFill="0" applyBorder="0" applyAlignment="0" applyProtection="0"/>
    <xf numFmtId="185" fontId="181" fillId="12" borderId="43" applyNumberFormat="0" applyBorder="0" applyAlignment="0">
      <alignment horizontal="center"/>
      <protection hidden="1"/>
    </xf>
    <xf numFmtId="185" fontId="182" fillId="0" borderId="43" applyNumberFormat="0" applyBorder="0" applyAlignment="0">
      <alignment horizontal="center"/>
      <protection locked="0"/>
    </xf>
    <xf numFmtId="2" fontId="183" fillId="50" borderId="11">
      <alignment horizontal="left"/>
    </xf>
    <xf numFmtId="0" fontId="184" fillId="78" borderId="4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9" fillId="0" borderId="0" applyNumberFormat="0" applyFont="0" applyFill="0" applyBorder="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9" fillId="0" borderId="0" applyNumberFormat="0" applyFont="0" applyFill="0" applyBorder="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9" fillId="0" borderId="0" applyNumberFormat="0" applyFont="0" applyFill="0" applyBorder="0" applyAlignment="0" applyProtection="0"/>
    <xf numFmtId="0" fontId="184" fillId="61" borderId="44" applyNumberFormat="0" applyAlignment="0" applyProtection="0"/>
    <xf numFmtId="0" fontId="9" fillId="0" borderId="0" applyNumberFormat="0" applyFont="0" applyFill="0" applyBorder="0" applyAlignment="0" applyProtection="0"/>
    <xf numFmtId="0" fontId="184" fillId="78" borderId="4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194" fontId="185" fillId="61" borderId="44" applyNumberFormat="0" applyAlignment="0" applyProtection="0"/>
    <xf numFmtId="194" fontId="185" fillId="61" borderId="44" applyNumberFormat="0" applyAlignment="0" applyProtection="0"/>
    <xf numFmtId="40" fontId="18" fillId="33" borderId="0">
      <alignment horizontal="right"/>
    </xf>
    <xf numFmtId="185" fontId="186" fillId="98" borderId="0">
      <alignment horizontal="center"/>
    </xf>
    <xf numFmtId="185" fontId="187" fillId="99" borderId="0"/>
    <xf numFmtId="185" fontId="188" fillId="33" borderId="0" applyBorder="0">
      <alignment horizontal="centerContinuous"/>
    </xf>
    <xf numFmtId="185" fontId="189" fillId="99" borderId="0" applyBorder="0">
      <alignment horizontal="centerContinuous"/>
    </xf>
    <xf numFmtId="320" fontId="9" fillId="0" borderId="0"/>
    <xf numFmtId="320" fontId="9" fillId="0" borderId="0"/>
    <xf numFmtId="320" fontId="9" fillId="0" borderId="0"/>
    <xf numFmtId="320" fontId="9" fillId="0" borderId="0"/>
    <xf numFmtId="176" fontId="9" fillId="0" borderId="0"/>
    <xf numFmtId="176" fontId="9" fillId="0" borderId="0"/>
    <xf numFmtId="176" fontId="9" fillId="0" borderId="0"/>
    <xf numFmtId="176" fontId="9" fillId="0" borderId="0"/>
    <xf numFmtId="176" fontId="9" fillId="0" borderId="0"/>
    <xf numFmtId="320" fontId="9" fillId="0" borderId="0"/>
    <xf numFmtId="185" fontId="41" fillId="100" borderId="0" applyNumberFormat="0" applyFont="0" applyBorder="0" applyAlignment="0"/>
    <xf numFmtId="1" fontId="190" fillId="0" borderId="0" applyProtection="0">
      <alignment horizontal="right" vertical="center"/>
    </xf>
    <xf numFmtId="197" fontId="191" fillId="0" borderId="0">
      <alignment horizontal="left"/>
    </xf>
    <xf numFmtId="321" fontId="44" fillId="0" borderId="0"/>
    <xf numFmtId="322" fontId="44" fillId="0" borderId="0"/>
    <xf numFmtId="166" fontId="9" fillId="0" borderId="0" applyFont="0" applyFill="0" applyBorder="0" applyAlignment="0" applyProtection="0"/>
    <xf numFmtId="168" fontId="9" fillId="0" borderId="0" applyFont="0" applyFill="0" applyBorder="0" applyAlignment="0" applyProtection="0"/>
    <xf numFmtId="175" fontId="45" fillId="0" borderId="0" applyFont="0" applyFill="0" applyBorder="0" applyAlignment="0" applyProtection="0">
      <protection locked="0"/>
    </xf>
    <xf numFmtId="10" fontId="45" fillId="0" borderId="0" applyFont="0" applyFill="0" applyBorder="0" applyAlignment="0" applyProtection="0">
      <protection locked="0"/>
    </xf>
    <xf numFmtId="10" fontId="9"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23" fontId="57" fillId="0" borderId="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324" fontId="64" fillId="80" borderId="0" applyBorder="0" applyAlignment="0">
      <protection locked="0"/>
    </xf>
    <xf numFmtId="9" fontId="57" fillId="0" borderId="0"/>
    <xf numFmtId="175" fontId="57" fillId="0" borderId="0"/>
    <xf numFmtId="10" fontId="57" fillId="0" borderId="0"/>
    <xf numFmtId="325" fontId="9" fillId="0" borderId="0" applyFont="0" applyFill="0" applyBorder="0" applyAlignment="0" applyProtection="0"/>
    <xf numFmtId="326" fontId="55" fillId="0" borderId="0"/>
    <xf numFmtId="327" fontId="55" fillId="0" borderId="0"/>
    <xf numFmtId="327" fontId="57" fillId="0" borderId="0"/>
    <xf numFmtId="328" fontId="9" fillId="0" borderId="0" applyBorder="0">
      <alignment horizontal="right"/>
    </xf>
    <xf numFmtId="329" fontId="53" fillId="0" borderId="0" applyBorder="0"/>
    <xf numFmtId="10" fontId="9" fillId="50" borderId="0"/>
    <xf numFmtId="185" fontId="9" fillId="0" borderId="0">
      <protection locked="0"/>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330" fontId="7" fillId="101" borderId="6">
      <alignment vertical="center"/>
    </xf>
    <xf numFmtId="0"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7" fillId="101"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101" borderId="6">
      <alignment vertical="center"/>
    </xf>
    <xf numFmtId="172" fontId="7" fillId="101" borderId="6">
      <alignment vertical="center"/>
    </xf>
    <xf numFmtId="0" fontId="24" fillId="101" borderId="6">
      <alignment vertical="center"/>
    </xf>
    <xf numFmtId="172" fontId="7" fillId="101" borderId="6">
      <alignment vertical="center"/>
    </xf>
    <xf numFmtId="0" fontId="24" fillId="101" borderId="6">
      <alignment vertical="center"/>
    </xf>
    <xf numFmtId="172" fontId="7" fillId="101" borderId="6">
      <alignment vertical="center"/>
    </xf>
    <xf numFmtId="0" fontId="24" fillId="101" borderId="6">
      <alignment vertical="center"/>
    </xf>
    <xf numFmtId="172"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172"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0" fontId="9" fillId="32" borderId="3" applyNumberFormat="0" applyProtection="0">
      <alignment horizontal="left" vertical="center" indent="1"/>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101" borderId="6">
      <alignment vertical="center"/>
    </xf>
    <xf numFmtId="176" fontId="7" fillId="101" borderId="6">
      <alignment vertical="center"/>
    </xf>
    <xf numFmtId="176" fontId="24" fillId="101" borderId="6">
      <alignment vertical="center"/>
    </xf>
    <xf numFmtId="176" fontId="7" fillId="101" borderId="6">
      <alignment vertical="center"/>
    </xf>
    <xf numFmtId="176" fontId="24" fillId="101" borderId="6">
      <alignment vertical="center"/>
    </xf>
    <xf numFmtId="176" fontId="7"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2" fontId="24" fillId="90"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101" borderId="6">
      <alignment vertical="center"/>
    </xf>
    <xf numFmtId="172" fontId="7" fillId="101" borderId="6">
      <alignment vertical="center"/>
    </xf>
    <xf numFmtId="176" fontId="24" fillId="101" borderId="6">
      <alignment vertical="center"/>
    </xf>
    <xf numFmtId="172" fontId="7" fillId="101" borderId="6">
      <alignment vertical="center"/>
    </xf>
    <xf numFmtId="176" fontId="24" fillId="101" borderId="6">
      <alignment vertical="center"/>
    </xf>
    <xf numFmtId="172" fontId="7" fillId="101" borderId="6">
      <alignment vertical="center"/>
    </xf>
    <xf numFmtId="176" fontId="24" fillId="101" borderId="6">
      <alignment vertical="center"/>
    </xf>
    <xf numFmtId="172"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6"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2"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101" borderId="6">
      <alignment vertical="center"/>
    </xf>
    <xf numFmtId="331" fontId="7" fillId="101" borderId="6">
      <alignment vertical="center"/>
    </xf>
    <xf numFmtId="176" fontId="24" fillId="101" borderId="6">
      <alignment vertical="center"/>
    </xf>
    <xf numFmtId="331" fontId="7" fillId="101" borderId="6">
      <alignment vertical="center"/>
    </xf>
    <xf numFmtId="176" fontId="24" fillId="101" borderId="6">
      <alignment vertical="center"/>
    </xf>
    <xf numFmtId="331" fontId="7" fillId="101" borderId="6">
      <alignment vertical="center"/>
    </xf>
    <xf numFmtId="176" fontId="24" fillId="101" borderId="6">
      <alignment vertical="center"/>
    </xf>
    <xf numFmtId="331"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101" borderId="6">
      <alignment vertical="center"/>
    </xf>
    <xf numFmtId="331" fontId="24"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101" borderId="6">
      <alignment vertical="center"/>
    </xf>
    <xf numFmtId="331" fontId="24"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6"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101" borderId="6">
      <alignment vertical="center"/>
    </xf>
    <xf numFmtId="176" fontId="7" fillId="101" borderId="6">
      <alignment vertical="center"/>
    </xf>
    <xf numFmtId="0" fontId="24" fillId="101" borderId="6">
      <alignment vertical="center"/>
    </xf>
    <xf numFmtId="176" fontId="7" fillId="101" borderId="6">
      <alignment vertical="center"/>
    </xf>
    <xf numFmtId="0" fontId="24" fillId="101" borderId="6">
      <alignment vertical="center"/>
    </xf>
    <xf numFmtId="176" fontId="7" fillId="101" borderId="6">
      <alignment vertical="center"/>
    </xf>
    <xf numFmtId="0" fontId="24" fillId="101" borderId="6">
      <alignment vertical="center"/>
    </xf>
    <xf numFmtId="176" fontId="7" fillId="101"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332" fontId="44" fillId="0" borderId="0">
      <alignment horizontal="right"/>
    </xf>
    <xf numFmtId="40" fontId="9" fillId="0" borderId="0"/>
    <xf numFmtId="1" fontId="192" fillId="46" borderId="0">
      <alignment horizontal="center"/>
    </xf>
    <xf numFmtId="185" fontId="49" fillId="0" borderId="0" applyNumberFormat="0" applyFont="0" applyFill="0" applyBorder="0" applyAlignment="0" applyProtection="0">
      <alignment horizontal="left"/>
    </xf>
    <xf numFmtId="15" fontId="49" fillId="0" borderId="0" applyFont="0" applyFill="0" applyBorder="0" applyAlignment="0" applyProtection="0"/>
    <xf numFmtId="4" fontId="49" fillId="0" borderId="0" applyFont="0" applyFill="0" applyBorder="0" applyAlignment="0" applyProtection="0"/>
    <xf numFmtId="185" fontId="193" fillId="0" borderId="17">
      <alignment horizontal="center"/>
    </xf>
    <xf numFmtId="3" fontId="49" fillId="0" borderId="0" applyFont="0" applyFill="0" applyBorder="0" applyAlignment="0" applyProtection="0"/>
    <xf numFmtId="185" fontId="49" fillId="102" borderId="0" applyNumberFormat="0" applyFont="0" applyBorder="0" applyAlignment="0" applyProtection="0"/>
    <xf numFmtId="333" fontId="44" fillId="46" borderId="0"/>
    <xf numFmtId="334" fontId="20" fillId="46" borderId="0" applyFill="0"/>
    <xf numFmtId="185" fontId="194" fillId="0" borderId="0">
      <alignment horizontal="left" indent="7"/>
    </xf>
    <xf numFmtId="185" fontId="20" fillId="0" borderId="0" applyFill="0">
      <alignment horizontal="left" indent="7"/>
    </xf>
    <xf numFmtId="334" fontId="64" fillId="0" borderId="28">
      <alignment horizontal="right"/>
    </xf>
    <xf numFmtId="185" fontId="64" fillId="0" borderId="26" applyNumberFormat="0" applyFont="0" applyBorder="0">
      <alignment horizontal="right"/>
    </xf>
    <xf numFmtId="185" fontId="195" fillId="0" borderId="0" applyFill="0"/>
    <xf numFmtId="185" fontId="64" fillId="0" borderId="0" applyFill="0"/>
    <xf numFmtId="334" fontId="17" fillId="0" borderId="28" applyFill="0"/>
    <xf numFmtId="185" fontId="9" fillId="0" borderId="0" applyNumberFormat="0" applyFont="0" applyBorder="0" applyAlignment="0"/>
    <xf numFmtId="185" fontId="196" fillId="0" borderId="0" applyFill="0">
      <alignment horizontal="left" indent="1"/>
    </xf>
    <xf numFmtId="185" fontId="17" fillId="0" borderId="0">
      <alignment horizontal="left" indent="1"/>
    </xf>
    <xf numFmtId="334" fontId="64" fillId="0" borderId="28" applyFill="0"/>
    <xf numFmtId="185" fontId="9" fillId="0" borderId="0" applyNumberFormat="0" applyFont="0" applyFill="0" applyBorder="0" applyAlignment="0"/>
    <xf numFmtId="185" fontId="195" fillId="0" borderId="0" applyFill="0">
      <alignment horizontal="left" indent="2"/>
    </xf>
    <xf numFmtId="185" fontId="64" fillId="0" borderId="0" applyFill="0">
      <alignment horizontal="left" indent="2"/>
    </xf>
    <xf numFmtId="334" fontId="17" fillId="0" borderId="28" applyFill="0"/>
    <xf numFmtId="185" fontId="9" fillId="0" borderId="0" applyNumberFormat="0" applyFont="0" applyBorder="0" applyAlignment="0"/>
    <xf numFmtId="185" fontId="196" fillId="0" borderId="0">
      <alignment horizontal="left" indent="3"/>
    </xf>
    <xf numFmtId="185" fontId="17" fillId="0" borderId="0" applyFill="0">
      <alignment horizontal="left" indent="3"/>
    </xf>
    <xf numFmtId="334" fontId="64" fillId="0" borderId="28" applyFill="0"/>
    <xf numFmtId="185" fontId="9" fillId="0" borderId="0" applyNumberFormat="0" applyFont="0" applyBorder="0" applyAlignment="0"/>
    <xf numFmtId="185" fontId="195" fillId="0" borderId="0">
      <alignment horizontal="left" indent="4"/>
    </xf>
    <xf numFmtId="185" fontId="64" fillId="0" borderId="0" applyFill="0">
      <alignment horizontal="left" indent="4"/>
    </xf>
    <xf numFmtId="334" fontId="17" fillId="0" borderId="28" applyFill="0"/>
    <xf numFmtId="185" fontId="9" fillId="0" borderId="0" applyNumberFormat="0" applyFont="0" applyBorder="0" applyAlignment="0"/>
    <xf numFmtId="185" fontId="196" fillId="0" borderId="0">
      <alignment horizontal="left" indent="5"/>
    </xf>
    <xf numFmtId="185" fontId="17" fillId="0" borderId="0" applyFill="0">
      <alignment horizontal="left" indent="5"/>
    </xf>
    <xf numFmtId="334" fontId="64" fillId="0" borderId="28" applyFill="0"/>
    <xf numFmtId="185" fontId="9" fillId="0" borderId="0" applyNumberFormat="0" applyFont="0" applyFill="0" applyBorder="0" applyAlignment="0"/>
    <xf numFmtId="185" fontId="64" fillId="0" borderId="0" applyFill="0">
      <alignment horizontal="left" indent="6"/>
    </xf>
    <xf numFmtId="335" fontId="44" fillId="46" borderId="11">
      <alignment horizontal="right"/>
    </xf>
    <xf numFmtId="0" fontId="197" fillId="0" borderId="0"/>
    <xf numFmtId="14" fontId="198" fillId="0" borderId="0" applyNumberFormat="0" applyFill="0" applyBorder="0" applyAlignment="0" applyProtection="0">
      <alignment horizontal="left"/>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2"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2"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4"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2"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172" fontId="24" fillId="43" borderId="26">
      <alignment vertical="center"/>
    </xf>
    <xf numFmtId="337" fontId="7" fillId="43" borderId="26">
      <alignment vertical="center"/>
    </xf>
    <xf numFmtId="172" fontId="24" fillId="43" borderId="26">
      <alignment vertical="center"/>
    </xf>
    <xf numFmtId="337" fontId="7" fillId="43" borderId="26">
      <alignment vertical="center"/>
    </xf>
    <xf numFmtId="172" fontId="24" fillId="43" borderId="26">
      <alignment vertical="center"/>
    </xf>
    <xf numFmtId="337"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43" borderId="26">
      <alignment vertical="center"/>
    </xf>
    <xf numFmtId="331" fontId="24"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43" borderId="26">
      <alignment vertical="center"/>
    </xf>
    <xf numFmtId="331" fontId="24"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43" borderId="26">
      <alignment vertical="center"/>
    </xf>
    <xf numFmtId="337" fontId="7" fillId="43" borderId="26">
      <alignment vertical="center"/>
    </xf>
    <xf numFmtId="176" fontId="24" fillId="43" borderId="26">
      <alignment vertical="center"/>
    </xf>
    <xf numFmtId="337" fontId="7" fillId="43" borderId="26">
      <alignment vertical="center"/>
    </xf>
    <xf numFmtId="176" fontId="24" fillId="43" borderId="26">
      <alignment vertical="center"/>
    </xf>
    <xf numFmtId="337" fontId="7" fillId="43" borderId="26">
      <alignment vertical="center"/>
    </xf>
    <xf numFmtId="176" fontId="24" fillId="43" borderId="26">
      <alignment vertical="center"/>
    </xf>
    <xf numFmtId="337"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6"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176" fontId="24" fillId="38" borderId="26">
      <alignment vertical="center"/>
    </xf>
    <xf numFmtId="337" fontId="7" fillId="43" borderId="26">
      <alignment vertical="center"/>
    </xf>
    <xf numFmtId="176"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43" borderId="26">
      <alignment vertical="center"/>
    </xf>
    <xf numFmtId="176" fontId="7" fillId="43" borderId="26">
      <alignment vertical="center"/>
    </xf>
    <xf numFmtId="0" fontId="24" fillId="43" borderId="26">
      <alignment vertical="center"/>
    </xf>
    <xf numFmtId="176" fontId="7" fillId="43" borderId="26">
      <alignment vertical="center"/>
    </xf>
    <xf numFmtId="0" fontId="24" fillId="43" borderId="26">
      <alignment vertical="center"/>
    </xf>
    <xf numFmtId="176" fontId="7" fillId="43" borderId="26">
      <alignment vertical="center"/>
    </xf>
    <xf numFmtId="0" fontId="24" fillId="43" borderId="26">
      <alignment vertical="center"/>
    </xf>
    <xf numFmtId="176" fontId="7" fillId="43" borderId="26">
      <alignment vertical="center"/>
    </xf>
    <xf numFmtId="0" fontId="7" fillId="43" borderId="26">
      <alignment vertical="center"/>
    </xf>
    <xf numFmtId="0" fontId="7" fillId="43" borderId="26">
      <alignment vertical="center"/>
    </xf>
    <xf numFmtId="0"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43" borderId="26">
      <alignment vertical="center"/>
    </xf>
    <xf numFmtId="176" fontId="7" fillId="43" borderId="26">
      <alignment vertical="center"/>
    </xf>
    <xf numFmtId="172" fontId="24" fillId="43" borderId="26">
      <alignment vertical="center"/>
    </xf>
    <xf numFmtId="176" fontId="7" fillId="43" borderId="26">
      <alignment vertical="center"/>
    </xf>
    <xf numFmtId="172" fontId="24" fillId="43" borderId="26">
      <alignment vertical="center"/>
    </xf>
    <xf numFmtId="176" fontId="7" fillId="43" borderId="26">
      <alignment vertical="center"/>
    </xf>
    <xf numFmtId="172" fontId="24" fillId="43" borderId="26">
      <alignment vertical="center"/>
    </xf>
    <xf numFmtId="176"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2"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4"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44" borderId="26">
      <alignment horizontal="right" vertical="center"/>
      <protection locked="0"/>
    </xf>
    <xf numFmtId="331" fontId="24"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44" borderId="26">
      <alignment horizontal="right" vertical="center"/>
      <protection locked="0"/>
    </xf>
    <xf numFmtId="331" fontId="24"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6"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2"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336" fontId="24" fillId="0" borderId="0">
      <protection locked="0"/>
    </xf>
    <xf numFmtId="338" fontId="199" fillId="0" borderId="0"/>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protection locked="0"/>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0"/>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protection locked="0"/>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protection locked="0"/>
    </xf>
    <xf numFmtId="185" fontId="201" fillId="0" borderId="46">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9" fillId="45" borderId="3" applyNumberFormat="0" applyProtection="0">
      <alignment vertical="center"/>
    </xf>
    <xf numFmtId="4" fontId="19" fillId="45"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9"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2" fillId="45" borderId="3" applyNumberFormat="0" applyProtection="0">
      <alignment vertical="center"/>
    </xf>
    <xf numFmtId="4" fontId="202"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2" fillId="45" borderId="3" applyNumberFormat="0" applyProtection="0">
      <alignment vertical="center"/>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203" fillId="45" borderId="3" applyNumberFormat="0" applyProtection="0">
      <alignment horizontal="left" vertical="center" indent="1"/>
    </xf>
    <xf numFmtId="4" fontId="203" fillId="45"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203" fillId="45" borderId="3" applyNumberFormat="0" applyProtection="0">
      <alignment horizontal="left" vertical="center"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4" fontId="203" fillId="103" borderId="0" applyNumberFormat="0" applyProtection="0">
      <alignment horizontal="left" vertical="center" indent="1"/>
    </xf>
    <xf numFmtId="4" fontId="203" fillId="103" borderId="0" applyNumberFormat="0" applyProtection="0">
      <alignment horizontal="left" vertical="center" indent="1"/>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203" fillId="104" borderId="3" applyNumberFormat="0" applyProtection="0">
      <alignment horizontal="right" vertical="center"/>
    </xf>
    <xf numFmtId="4" fontId="203" fillId="104"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203" fillId="104"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203" fillId="89" borderId="3" applyNumberFormat="0" applyProtection="0">
      <alignment horizontal="right" vertical="center"/>
    </xf>
    <xf numFmtId="4" fontId="203" fillId="89"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203" fillId="89"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203" fillId="86" borderId="3" applyNumberFormat="0" applyProtection="0">
      <alignment horizontal="right" vertical="center"/>
    </xf>
    <xf numFmtId="4" fontId="203" fillId="86"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203" fillId="86"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203" fillId="38" borderId="3" applyNumberFormat="0" applyProtection="0">
      <alignment horizontal="right" vertical="center"/>
    </xf>
    <xf numFmtId="4" fontId="203" fillId="38"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203" fillId="38"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203" fillId="90" borderId="3" applyNumberFormat="0" applyProtection="0">
      <alignment horizontal="right" vertical="center"/>
    </xf>
    <xf numFmtId="4" fontId="203" fillId="90"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203" fillId="90"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203" fillId="37" borderId="3" applyNumberFormat="0" applyProtection="0">
      <alignment horizontal="right" vertical="center"/>
    </xf>
    <xf numFmtId="4" fontId="203" fillId="37"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203" fillId="37"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203" fillId="91" borderId="3" applyNumberFormat="0" applyProtection="0">
      <alignment horizontal="right" vertical="center"/>
    </xf>
    <xf numFmtId="4" fontId="203" fillId="91"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203" fillId="91"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203" fillId="105" borderId="3" applyNumberFormat="0" applyProtection="0">
      <alignment horizontal="right" vertical="center"/>
    </xf>
    <xf numFmtId="4" fontId="203" fillId="105"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203" fillId="105"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203" fillId="97" borderId="3" applyNumberFormat="0" applyProtection="0">
      <alignment horizontal="right" vertical="center"/>
    </xf>
    <xf numFmtId="4" fontId="203" fillId="97"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203" fillId="97" borderId="3" applyNumberFormat="0" applyProtection="0">
      <alignment horizontal="right" vertical="center"/>
    </xf>
    <xf numFmtId="4" fontId="19" fillId="106" borderId="4" applyNumberFormat="0" applyProtection="0">
      <alignment horizontal="left" vertical="center" indent="1"/>
    </xf>
    <xf numFmtId="4" fontId="19" fillId="106" borderId="4" applyNumberFormat="0" applyProtection="0">
      <alignment horizontal="left" vertical="center" indent="1"/>
    </xf>
    <xf numFmtId="4" fontId="19" fillId="40" borderId="0" applyNumberFormat="0" applyProtection="0">
      <alignment horizontal="left" vertical="center" indent="1"/>
    </xf>
    <xf numFmtId="4" fontId="19" fillId="40" borderId="0" applyNumberFormat="0" applyProtection="0">
      <alignment horizontal="left" vertical="center" indent="1"/>
    </xf>
    <xf numFmtId="4" fontId="19" fillId="103" borderId="0" applyNumberFormat="0" applyProtection="0">
      <alignment horizontal="left" vertical="center" indent="1"/>
    </xf>
    <xf numFmtId="4" fontId="19" fillId="103" borderId="0" applyNumberFormat="0" applyProtection="0">
      <alignment horizontal="left" vertical="center" indent="1"/>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203" fillId="40" borderId="3" applyNumberFormat="0" applyProtection="0">
      <alignment horizontal="right" vertical="center"/>
    </xf>
    <xf numFmtId="4" fontId="203" fillId="40"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203" fillId="40" borderId="3" applyNumberFormat="0" applyProtection="0">
      <alignment horizontal="right" vertical="center"/>
    </xf>
    <xf numFmtId="4" fontId="18" fillId="30" borderId="0" applyNumberFormat="0" applyProtection="0">
      <alignment horizontal="left" vertical="center" indent="1"/>
    </xf>
    <xf numFmtId="4" fontId="53" fillId="30" borderId="47" applyNumberFormat="0" applyProtection="0">
      <alignment horizontal="left" vertical="center" indent="1"/>
    </xf>
    <xf numFmtId="4" fontId="18" fillId="19" borderId="0" applyNumberFormat="0" applyProtection="0">
      <alignment horizontal="left" vertical="center" indent="1"/>
    </xf>
    <xf numFmtId="4" fontId="53" fillId="19" borderId="47"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53" fillId="61" borderId="48" applyNumberFormat="0" applyProtection="0">
      <alignment horizontal="left" vertical="center"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53" fillId="31" borderId="3" applyNumberFormat="0" applyProtection="0">
      <alignment horizontal="left" vertical="top"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53" fillId="83" borderId="48" applyNumberFormat="0" applyProtection="0">
      <alignment horizontal="left" vertical="center"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53" fillId="19" borderId="3" applyNumberFormat="0" applyProtection="0">
      <alignment horizontal="left" vertical="top"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53" fillId="32" borderId="48" applyNumberFormat="0" applyProtection="0">
      <alignment horizontal="left" vertical="center"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53" fillId="32" borderId="3" applyNumberFormat="0" applyProtection="0">
      <alignment horizontal="left" vertical="top"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53" fillId="30" borderId="48" applyNumberFormat="0" applyProtection="0">
      <alignment horizontal="left" vertical="center"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53" fillId="30" borderId="3" applyNumberFormat="0" applyProtection="0">
      <alignment horizontal="left" vertical="top" indent="1"/>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53" fillId="33" borderId="49" applyNumberFormat="0">
      <protection locked="0"/>
    </xf>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203" fillId="107" borderId="3" applyNumberFormat="0" applyProtection="0">
      <alignment vertical="center"/>
    </xf>
    <xf numFmtId="4" fontId="203" fillId="107"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203" fillId="107"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4" fillId="107" borderId="3" applyNumberFormat="0" applyProtection="0">
      <alignment vertical="center"/>
    </xf>
    <xf numFmtId="4" fontId="204" fillId="107"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4" fillId="107" borderId="3" applyNumberFormat="0" applyProtection="0">
      <alignment vertical="center"/>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9" fillId="40" borderId="51" applyNumberFormat="0" applyProtection="0">
      <alignment horizontal="left" vertical="center" indent="1"/>
    </xf>
    <xf numFmtId="4" fontId="19" fillId="40" borderId="51"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9" fillId="40" borderId="51" applyNumberFormat="0" applyProtection="0">
      <alignment horizontal="left" vertical="center"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203" fillId="107" borderId="3" applyNumberFormat="0" applyProtection="0">
      <alignment horizontal="right" vertical="center"/>
    </xf>
    <xf numFmtId="4" fontId="203" fillId="107"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203" fillId="107"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4" fillId="107" borderId="3" applyNumberFormat="0" applyProtection="0">
      <alignment horizontal="right" vertical="center"/>
    </xf>
    <xf numFmtId="4" fontId="204" fillId="107"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4" fillId="107" borderId="3" applyNumberFormat="0" applyProtection="0">
      <alignment horizontal="right" vertical="center"/>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9" fillId="40" borderId="3" applyNumberFormat="0" applyProtection="0">
      <alignment horizontal="left" vertical="center" indent="1"/>
    </xf>
    <xf numFmtId="4" fontId="19" fillId="40"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9" fillId="40" borderId="3" applyNumberFormat="0" applyProtection="0">
      <alignment horizontal="left" vertical="center"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4" fontId="21" fillId="108" borderId="51" applyNumberFormat="0" applyProtection="0">
      <alignment horizontal="left" vertical="center" indent="1"/>
    </xf>
    <xf numFmtId="4" fontId="21" fillId="108" borderId="51" applyNumberFormat="0" applyProtection="0">
      <alignment horizontal="left" vertical="center" indent="1"/>
    </xf>
    <xf numFmtId="4" fontId="21" fillId="108" borderId="51" applyNumberFormat="0" applyProtection="0">
      <alignment horizontal="left" vertical="center" indent="1"/>
    </xf>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185" fontId="53" fillId="109" borderId="6"/>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05" fillId="107" borderId="3" applyNumberFormat="0" applyProtection="0">
      <alignment horizontal="right" vertical="center"/>
    </xf>
    <xf numFmtId="38" fontId="206" fillId="0" borderId="52">
      <alignment horizontal="center"/>
    </xf>
    <xf numFmtId="185" fontId="207" fillId="110" borderId="0"/>
    <xf numFmtId="185" fontId="78" fillId="0" borderId="0"/>
    <xf numFmtId="38" fontId="49" fillId="0" borderId="0" applyFont="0" applyFill="0" applyBorder="0" applyAlignment="0" applyProtection="0"/>
    <xf numFmtId="40" fontId="146" fillId="0" borderId="0" applyFont="0" applyFill="0" applyBorder="0" applyAlignment="0" applyProtection="0"/>
    <xf numFmtId="318" fontId="55" fillId="111" borderId="0" applyFont="0"/>
    <xf numFmtId="185" fontId="208" fillId="0" borderId="0"/>
    <xf numFmtId="0" fontId="9" fillId="0" borderId="0" applyNumberFormat="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9" fillId="0" borderId="0" applyNumberFormat="0" applyFont="0" applyFill="0" applyBorder="0" applyAlignment="0" applyProtection="0"/>
    <xf numFmtId="0" fontId="2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 fontId="9" fillId="0" borderId="0"/>
    <xf numFmtId="185" fontId="49" fillId="0" borderId="0">
      <alignment textRotation="90"/>
    </xf>
    <xf numFmtId="0" fontId="98" fillId="81" borderId="0" applyAlignment="0" applyProtection="0">
      <alignment horizontal="right" vertical="center"/>
    </xf>
    <xf numFmtId="195" fontId="58" fillId="0" borderId="0">
      <alignment vertical="center"/>
    </xf>
    <xf numFmtId="0" fontId="9" fillId="112" borderId="0"/>
    <xf numFmtId="339" fontId="18" fillId="0" borderId="0" applyFill="0" applyBorder="0" applyAlignment="0"/>
    <xf numFmtId="0" fontId="9" fillId="0" borderId="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85" fontId="9" fillId="0" borderId="0" applyFont="0" applyFill="0" applyBorder="0" applyAlignment="0" applyProtection="0"/>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38" fontId="9" fillId="0" borderId="0" applyFont="0" applyFill="0" applyBorder="0" applyAlignment="0" applyProtection="0"/>
    <xf numFmtId="185" fontId="9" fillId="0" borderId="0">
      <alignment vertical="top"/>
    </xf>
    <xf numFmtId="185" fontId="210" fillId="50" borderId="0" applyNumberFormat="0" applyProtection="0">
      <alignment horizontal="center" vertical="center"/>
    </xf>
    <xf numFmtId="4" fontId="18" fillId="50" borderId="0" applyProtection="0">
      <alignment horizontal="center" vertical="center"/>
    </xf>
    <xf numFmtId="185" fontId="211" fillId="50" borderId="0" applyNumberFormat="0" applyProtection="0">
      <alignment horizontal="center" vertical="center"/>
    </xf>
    <xf numFmtId="4" fontId="20" fillId="50" borderId="0" applyProtection="0">
      <alignment horizontal="center" vertical="center"/>
    </xf>
    <xf numFmtId="185" fontId="212" fillId="113" borderId="0" applyNumberFormat="0" applyProtection="0">
      <alignment horizontal="center" vertical="center"/>
    </xf>
    <xf numFmtId="4" fontId="22" fillId="113" borderId="0" applyProtection="0">
      <alignment horizontal="center" vertical="center"/>
    </xf>
    <xf numFmtId="185" fontId="209" fillId="50" borderId="0" applyNumberFormat="0" applyProtection="0">
      <alignment horizontal="center" vertical="center"/>
    </xf>
    <xf numFmtId="4" fontId="213" fillId="50" borderId="0" applyProtection="0">
      <alignment horizontal="center" vertical="center"/>
    </xf>
    <xf numFmtId="185" fontId="214" fillId="114" borderId="0" applyNumberFormat="0" applyProtection="0">
      <alignment horizontal="center" vertical="center"/>
    </xf>
    <xf numFmtId="4" fontId="61" fillId="114" borderId="0" applyProtection="0">
      <alignment horizontal="center" vertical="center"/>
    </xf>
    <xf numFmtId="185" fontId="16" fillId="50" borderId="0" applyNumberFormat="0" applyProtection="0">
      <alignment horizontal="center" vertical="center" wrapText="1"/>
    </xf>
    <xf numFmtId="185" fontId="17" fillId="50" borderId="0" applyNumberFormat="0" applyProtection="0">
      <alignment horizontal="center" vertical="center" wrapText="1"/>
    </xf>
    <xf numFmtId="185" fontId="141" fillId="113" borderId="0" applyNumberFormat="0" applyProtection="0">
      <alignment horizontal="center" vertical="center" wrapText="1"/>
    </xf>
    <xf numFmtId="185" fontId="215" fillId="50" borderId="0" applyNumberFormat="0" applyProtection="0">
      <alignment horizontal="center" vertical="center" wrapText="1"/>
    </xf>
    <xf numFmtId="185" fontId="16" fillId="50" borderId="0" applyNumberFormat="0" applyProtection="0">
      <alignment horizontal="center" vertical="center" wrapText="1"/>
    </xf>
    <xf numFmtId="4" fontId="216" fillId="50" borderId="0" applyProtection="0">
      <alignment horizontal="center" vertical="top" wrapText="1"/>
    </xf>
    <xf numFmtId="185" fontId="17" fillId="50" borderId="0" applyNumberFormat="0" applyProtection="0">
      <alignment horizontal="center" vertical="center" wrapText="1"/>
    </xf>
    <xf numFmtId="4" fontId="217" fillId="50" borderId="0" applyProtection="0">
      <alignment horizontal="center" vertical="top" wrapText="1"/>
    </xf>
    <xf numFmtId="185" fontId="141" fillId="113" borderId="0" applyNumberFormat="0" applyProtection="0">
      <alignment horizontal="center" vertical="center" wrapText="1"/>
    </xf>
    <xf numFmtId="4" fontId="218" fillId="113" borderId="0" applyProtection="0">
      <alignment horizontal="center" vertical="top" wrapText="1"/>
    </xf>
    <xf numFmtId="185" fontId="215" fillId="50" borderId="0" applyNumberFormat="0" applyProtection="0">
      <alignment horizontal="center" vertical="center" wrapText="1"/>
    </xf>
    <xf numFmtId="4" fontId="219" fillId="50" borderId="0" applyProtection="0">
      <alignment horizontal="center" vertical="top" wrapText="1"/>
    </xf>
    <xf numFmtId="185" fontId="187" fillId="114" borderId="0" applyNumberFormat="0" applyProtection="0">
      <alignment horizontal="center" vertical="center" wrapText="1"/>
    </xf>
    <xf numFmtId="4" fontId="220" fillId="114" borderId="0" applyProtection="0">
      <alignment horizontal="center" vertical="top" wrapText="1"/>
    </xf>
    <xf numFmtId="185" fontId="16" fillId="104" borderId="0" applyNumberFormat="0" applyProtection="0">
      <alignment horizontal="center" vertical="center" wrapText="1"/>
    </xf>
    <xf numFmtId="4" fontId="216" fillId="104" borderId="0" applyProtection="0">
      <alignment horizontal="center" vertical="top" wrapText="1"/>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85" fontId="221" fillId="0" borderId="0"/>
    <xf numFmtId="185" fontId="222" fillId="40" borderId="0"/>
    <xf numFmtId="185" fontId="223" fillId="0" borderId="0">
      <alignment horizontal="left" vertical="center"/>
    </xf>
    <xf numFmtId="256" fontId="78" fillId="0" borderId="0"/>
    <xf numFmtId="185" fontId="107" fillId="0" borderId="0"/>
    <xf numFmtId="185" fontId="78" fillId="0" borderId="0">
      <alignment horizontal="center"/>
    </xf>
    <xf numFmtId="37" fontId="64" fillId="0" borderId="53" applyNumberFormat="0"/>
    <xf numFmtId="40" fontId="9" fillId="0" borderId="0" applyBorder="0">
      <alignment horizontal="right"/>
    </xf>
    <xf numFmtId="37" fontId="64" fillId="0" borderId="53" applyNumberFormat="0"/>
    <xf numFmtId="40" fontId="224" fillId="0" borderId="0" applyBorder="0">
      <alignment horizontal="right"/>
    </xf>
    <xf numFmtId="0" fontId="225" fillId="0" borderId="5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16" fillId="46" borderId="6">
      <protection locked="0"/>
    </xf>
    <xf numFmtId="0" fontId="216" fillId="46" borderId="6">
      <protection locked="0"/>
    </xf>
    <xf numFmtId="185" fontId="226" fillId="0" borderId="0" applyBorder="0" applyProtection="0">
      <alignment vertical="center"/>
    </xf>
    <xf numFmtId="185" fontId="226" fillId="0" borderId="9" applyBorder="0" applyProtection="0">
      <alignment horizontal="right" vertical="center"/>
    </xf>
    <xf numFmtId="185" fontId="227" fillId="115" borderId="0" applyBorder="0" applyProtection="0">
      <alignment horizontal="centerContinuous" vertical="center"/>
    </xf>
    <xf numFmtId="185" fontId="227" fillId="114" borderId="9" applyBorder="0" applyProtection="0">
      <alignment horizontal="centerContinuous" vertical="center"/>
    </xf>
    <xf numFmtId="185" fontId="228" fillId="0" borderId="0"/>
    <xf numFmtId="185" fontId="169" fillId="0" borderId="0"/>
    <xf numFmtId="185" fontId="229" fillId="0" borderId="0" applyFill="0" applyBorder="0" applyProtection="0">
      <alignment horizontal="left"/>
    </xf>
    <xf numFmtId="185" fontId="114" fillId="0" borderId="10" applyFill="0" applyBorder="0" applyProtection="0">
      <alignment horizontal="left" vertical="top"/>
    </xf>
    <xf numFmtId="185" fontId="230" fillId="0" borderId="0">
      <alignment horizontal="centerContinuous"/>
    </xf>
    <xf numFmtId="49" fontId="231" fillId="0" borderId="0"/>
    <xf numFmtId="49" fontId="41" fillId="0" borderId="0" applyFont="0" applyFill="0" applyBorder="0" applyAlignment="0" applyProtection="0"/>
    <xf numFmtId="185" fontId="232" fillId="0" borderId="0"/>
    <xf numFmtId="49" fontId="41" fillId="0" borderId="0" applyFont="0" applyFill="0" applyBorder="0" applyAlignment="0" applyProtection="0"/>
    <xf numFmtId="185" fontId="233" fillId="0" borderId="0"/>
    <xf numFmtId="0" fontId="93" fillId="83" borderId="0" applyAlignment="0" applyProtection="0"/>
    <xf numFmtId="0" fontId="53" fillId="83" borderId="0" applyAlignment="0" applyProtection="0">
      <alignment horizontal="left"/>
    </xf>
    <xf numFmtId="0" fontId="53" fillId="83" borderId="0" applyAlignment="0" applyProtection="0">
      <alignment horizontal="left" indent="1"/>
    </xf>
    <xf numFmtId="0" fontId="53" fillId="83" borderId="0" applyAlignment="0" applyProtection="0">
      <alignment horizontal="left" vertical="center" indent="2"/>
    </xf>
    <xf numFmtId="340" fontId="78" fillId="0" borderId="0" applyFont="0" applyFill="0" applyBorder="0" applyAlignment="0" applyProtection="0"/>
    <xf numFmtId="0" fontId="234" fillId="0" borderId="0">
      <alignment horizontal="center"/>
    </xf>
    <xf numFmtId="15" fontId="234" fillId="0" borderId="0">
      <alignment horizontal="center"/>
    </xf>
    <xf numFmtId="0" fontId="2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35"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94" fontId="235" fillId="0" borderId="0" applyNumberFormat="0" applyFill="0" applyBorder="0" applyAlignment="0" applyProtection="0"/>
    <xf numFmtId="0" fontId="9" fillId="0" borderId="0" applyNumberFormat="0" applyFont="0" applyFill="0" applyBorder="0" applyAlignment="0" applyProtection="0"/>
    <xf numFmtId="185" fontId="236" fillId="36" borderId="0">
      <alignment horizontal="right"/>
    </xf>
    <xf numFmtId="178" fontId="182" fillId="0" borderId="0"/>
    <xf numFmtId="185" fontId="237" fillId="0" borderId="0"/>
    <xf numFmtId="341" fontId="238" fillId="0" borderId="0"/>
    <xf numFmtId="197" fontId="9" fillId="0" borderId="53" applyNumberFormat="0" applyFont="0" applyFill="0" applyAlignment="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94" fontId="239" fillId="0" borderId="56" applyNumberFormat="0" applyFill="0" applyAlignment="0" applyProtection="0"/>
    <xf numFmtId="194" fontId="239" fillId="0" borderId="56" applyNumberFormat="0" applyFill="0" applyAlignment="0" applyProtection="0"/>
    <xf numFmtId="0" fontId="9" fillId="0" borderId="0" applyNumberFormat="0" applyFont="0" applyFill="0" applyBorder="0" applyAlignment="0" applyProtection="0"/>
    <xf numFmtId="37" fontId="64" fillId="0" borderId="57" applyNumberFormat="0" applyFill="0"/>
    <xf numFmtId="316" fontId="92" fillId="0" borderId="58" applyAlignment="0"/>
    <xf numFmtId="317" fontId="92" fillId="0" borderId="58" applyAlignment="0"/>
    <xf numFmtId="178" fontId="51" fillId="0" borderId="58"/>
    <xf numFmtId="342" fontId="54" fillId="0" borderId="0" applyFont="0" applyFill="0" applyBorder="0" applyAlignment="0" applyProtection="0">
      <alignment horizontal="right"/>
    </xf>
    <xf numFmtId="185" fontId="240" fillId="0" borderId="0">
      <alignment horizontal="fill"/>
    </xf>
    <xf numFmtId="37" fontId="53" fillId="45" borderId="0" applyNumberFormat="0" applyBorder="0" applyAlignment="0" applyProtection="0"/>
    <xf numFmtId="37" fontId="53" fillId="0" borderId="0"/>
    <xf numFmtId="37" fontId="53" fillId="46" borderId="0" applyNumberFormat="0" applyBorder="0" applyAlignment="0" applyProtection="0"/>
    <xf numFmtId="3" fontId="132" fillId="0" borderId="33" applyProtection="0"/>
    <xf numFmtId="4" fontId="51" fillId="0" borderId="0">
      <protection locked="0"/>
    </xf>
    <xf numFmtId="343" fontId="192" fillId="46" borderId="10" applyBorder="0">
      <alignment horizontal="right" vertical="center"/>
      <protection locked="0"/>
    </xf>
    <xf numFmtId="185" fontId="9" fillId="0" borderId="0">
      <alignment vertical="top"/>
    </xf>
    <xf numFmtId="185" fontId="241" fillId="0" borderId="0" applyFont="0" applyFill="0" applyBorder="0" applyAlignment="0" applyProtection="0"/>
    <xf numFmtId="249" fontId="117" fillId="0" borderId="0" applyFont="0" applyFill="0" applyBorder="0" applyAlignment="0" applyProtection="0"/>
    <xf numFmtId="344" fontId="117" fillId="0" borderId="0" applyFont="0" applyFill="0" applyBorder="0" applyAlignment="0" applyProtection="0"/>
    <xf numFmtId="345" fontId="117" fillId="0" borderId="0" applyFont="0" applyFill="0" applyBorder="0" applyAlignment="0" applyProtection="0"/>
    <xf numFmtId="208" fontId="53" fillId="0" borderId="0"/>
    <xf numFmtId="185" fontId="242" fillId="0" borderId="0"/>
    <xf numFmtId="346" fontId="9" fillId="0" borderId="0" applyFont="0" applyFill="0" applyBorder="0" applyAlignment="0" applyProtection="0"/>
    <xf numFmtId="257" fontId="9" fillId="0" borderId="0" applyFont="0" applyFill="0" applyBorder="0" applyAlignment="0" applyProtection="0"/>
    <xf numFmtId="0" fontId="24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3" fillId="0" borderId="0" applyNumberFormat="0" applyFill="0" applyBorder="0" applyAlignment="0" applyProtection="0"/>
    <xf numFmtId="0" fontId="9" fillId="34" borderId="0" applyNumberFormat="0" applyFont="0" applyBorder="0" applyAlignment="0" applyProtection="0"/>
    <xf numFmtId="172" fontId="7" fillId="43" borderId="26">
      <alignment vertical="center"/>
    </xf>
    <xf numFmtId="172" fontId="7" fillId="3" borderId="26">
      <alignment vertical="center"/>
      <protection locked="0"/>
    </xf>
    <xf numFmtId="0" fontId="12" fillId="0" borderId="0"/>
    <xf numFmtId="0" fontId="28" fillId="0" borderId="0"/>
    <xf numFmtId="173" fontId="252" fillId="0" borderId="0" applyFill="0" applyBorder="0">
      <alignment vertical="center"/>
    </xf>
    <xf numFmtId="10" fontId="36" fillId="0" borderId="0" applyFont="0" applyFill="0" applyBorder="0" applyAlignment="0" applyProtection="0">
      <alignment vertical="center"/>
    </xf>
    <xf numFmtId="169" fontId="7" fillId="0" borderId="0" applyFont="0" applyFill="0" applyBorder="0" applyAlignment="0" applyProtection="0"/>
    <xf numFmtId="169" fontId="6" fillId="0" borderId="0" applyFont="0" applyFill="0" applyBorder="0" applyAlignment="0" applyProtection="0"/>
    <xf numFmtId="176" fontId="7" fillId="101" borderId="26">
      <alignment vertical="center"/>
    </xf>
    <xf numFmtId="10" fontId="36" fillId="0" borderId="0" applyFont="0" applyFill="0" applyBorder="0" applyAlignment="0" applyProtection="0">
      <alignment vertical="center"/>
    </xf>
    <xf numFmtId="349" fontId="9" fillId="0" borderId="0"/>
    <xf numFmtId="349" fontId="9" fillId="0" borderId="0"/>
    <xf numFmtId="349" fontId="12" fillId="0" borderId="0"/>
    <xf numFmtId="349" fontId="9" fillId="0" borderId="0"/>
    <xf numFmtId="349" fontId="12" fillId="0" borderId="0"/>
    <xf numFmtId="349" fontId="12"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12" fillId="0" borderId="0"/>
    <xf numFmtId="349" fontId="12" fillId="0" borderId="0"/>
    <xf numFmtId="349" fontId="12" fillId="0" borderId="0"/>
    <xf numFmtId="349" fontId="9" fillId="0" borderId="0"/>
    <xf numFmtId="349" fontId="12" fillId="0" borderId="0"/>
    <xf numFmtId="349" fontId="9" fillId="0" borderId="0"/>
    <xf numFmtId="349" fontId="12" fillId="0" borderId="0"/>
    <xf numFmtId="349" fontId="12" fillId="0" borderId="0"/>
    <xf numFmtId="349" fontId="12"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48" fillId="0" borderId="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48" fillId="0" borderId="0"/>
    <xf numFmtId="349" fontId="9" fillId="0" borderId="0" applyFont="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alignment vertical="center"/>
    </xf>
    <xf numFmtId="349" fontId="12" fillId="0" borderId="0"/>
    <xf numFmtId="349" fontId="12" fillId="0" borderId="0"/>
    <xf numFmtId="349" fontId="12" fillId="0" borderId="0"/>
    <xf numFmtId="349" fontId="12" fillId="0" borderId="0"/>
    <xf numFmtId="349" fontId="9" fillId="0" borderId="0">
      <alignment vertical="center"/>
    </xf>
    <xf numFmtId="349" fontId="9" fillId="0" borderId="0">
      <alignment vertical="center"/>
    </xf>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12" fillId="0" borderId="0"/>
    <xf numFmtId="349" fontId="12" fillId="0" borderId="0"/>
    <xf numFmtId="349" fontId="9" fillId="0" borderId="0"/>
    <xf numFmtId="349" fontId="9" fillId="0" borderId="0"/>
    <xf numFmtId="349" fontId="9" fillId="0" borderId="0"/>
    <xf numFmtId="349" fontId="9" fillId="0" borderId="0"/>
    <xf numFmtId="349" fontId="9" fillId="0" borderId="0"/>
    <xf numFmtId="349" fontId="12" fillId="0" borderId="0">
      <alignment vertical="justify"/>
    </xf>
    <xf numFmtId="349" fontId="18" fillId="30" borderId="0" applyNumberFormat="0" applyBorder="0" applyAlignment="0" applyProtection="0"/>
    <xf numFmtId="349" fontId="18" fillId="30" borderId="0" applyNumberFormat="0" applyBorder="0" applyAlignment="0" applyProtection="0"/>
    <xf numFmtId="349" fontId="18" fillId="19" borderId="0" applyNumberFormat="0" applyBorder="0" applyAlignment="0" applyProtection="0"/>
    <xf numFmtId="349" fontId="18" fillId="19" borderId="0" applyNumberFormat="0" applyBorder="0" applyAlignment="0" applyProtection="0"/>
    <xf numFmtId="349" fontId="18" fillId="27" borderId="0" applyNumberFormat="0" applyBorder="0" applyAlignment="0" applyProtection="0"/>
    <xf numFmtId="349" fontId="18" fillId="27" borderId="0" applyNumberFormat="0" applyBorder="0" applyAlignment="0" applyProtection="0"/>
    <xf numFmtId="349" fontId="18" fillId="118" borderId="0" applyNumberFormat="0" applyBorder="0" applyAlignment="0" applyProtection="0"/>
    <xf numFmtId="349" fontId="18" fillId="118" borderId="0" applyNumberFormat="0" applyBorder="0" applyAlignment="0" applyProtection="0"/>
    <xf numFmtId="349" fontId="18" fillId="30" borderId="0" applyNumberFormat="0" applyBorder="0" applyAlignment="0" applyProtection="0"/>
    <xf numFmtId="349" fontId="18" fillId="30" borderId="0" applyNumberFormat="0" applyBorder="0" applyAlignment="0" applyProtection="0"/>
    <xf numFmtId="349" fontId="18" fillId="60" borderId="0" applyNumberFormat="0" applyBorder="0" applyAlignment="0" applyProtection="0"/>
    <xf numFmtId="349" fontId="18" fillId="60" borderId="0" applyNumberFormat="0" applyBorder="0" applyAlignment="0" applyProtection="0"/>
    <xf numFmtId="349" fontId="18" fillId="61" borderId="0" applyNumberFormat="0" applyBorder="0" applyAlignment="0" applyProtection="0"/>
    <xf numFmtId="349" fontId="18" fillId="61" borderId="0" applyNumberFormat="0" applyBorder="0" applyAlignment="0" applyProtection="0"/>
    <xf numFmtId="349" fontId="18" fillId="19" borderId="0" applyNumberFormat="0" applyBorder="0" applyAlignment="0" applyProtection="0"/>
    <xf numFmtId="349" fontId="18" fillId="19" borderId="0" applyNumberFormat="0" applyBorder="0" applyAlignment="0" applyProtection="0"/>
    <xf numFmtId="349" fontId="18" fillId="26" borderId="0" applyNumberFormat="0" applyBorder="0" applyAlignment="0" applyProtection="0"/>
    <xf numFmtId="349" fontId="18" fillId="26" borderId="0" applyNumberFormat="0" applyBorder="0" applyAlignment="0" applyProtection="0"/>
    <xf numFmtId="349" fontId="18" fillId="119" borderId="0" applyNumberFormat="0" applyBorder="0" applyAlignment="0" applyProtection="0"/>
    <xf numFmtId="349" fontId="18" fillId="119" borderId="0" applyNumberFormat="0" applyBorder="0" applyAlignment="0" applyProtection="0"/>
    <xf numFmtId="349" fontId="18" fillId="31" borderId="0" applyNumberFormat="0" applyBorder="0" applyAlignment="0" applyProtection="0"/>
    <xf numFmtId="349" fontId="18" fillId="31" borderId="0" applyNumberFormat="0" applyBorder="0" applyAlignment="0" applyProtection="0"/>
    <xf numFmtId="349" fontId="18" fillId="60" borderId="0" applyNumberFormat="0" applyBorder="0" applyAlignment="0" applyProtection="0"/>
    <xf numFmtId="349" fontId="18" fillId="60" borderId="0" applyNumberFormat="0" applyBorder="0" applyAlignment="0" applyProtection="0"/>
    <xf numFmtId="349" fontId="61" fillId="120" borderId="0" applyNumberFormat="0" applyBorder="0" applyAlignment="0" applyProtection="0"/>
    <xf numFmtId="349" fontId="61" fillId="120" borderId="0" applyNumberFormat="0" applyBorder="0" applyAlignment="0" applyProtection="0"/>
    <xf numFmtId="349" fontId="61" fillId="19" borderId="0" applyNumberFormat="0" applyBorder="0" applyAlignment="0" applyProtection="0"/>
    <xf numFmtId="349" fontId="61" fillId="19" borderId="0" applyNumberFormat="0" applyBorder="0" applyAlignment="0" applyProtection="0"/>
    <xf numFmtId="349" fontId="61" fillId="26" borderId="0" applyNumberFormat="0" applyBorder="0" applyAlignment="0" applyProtection="0"/>
    <xf numFmtId="349" fontId="61" fillId="26" borderId="0" applyNumberFormat="0" applyBorder="0" applyAlignment="0" applyProtection="0"/>
    <xf numFmtId="349" fontId="61" fillId="119" borderId="0" applyNumberFormat="0" applyBorder="0" applyAlignment="0" applyProtection="0"/>
    <xf numFmtId="349" fontId="61" fillId="119" borderId="0" applyNumberFormat="0" applyBorder="0" applyAlignment="0" applyProtection="0"/>
    <xf numFmtId="349" fontId="61" fillId="120" borderId="0" applyNumberFormat="0" applyBorder="0" applyAlignment="0" applyProtection="0"/>
    <xf numFmtId="349" fontId="61" fillId="120" borderId="0" applyNumberFormat="0" applyBorder="0" applyAlignment="0" applyProtection="0"/>
    <xf numFmtId="349" fontId="61" fillId="23" borderId="0" applyNumberFormat="0" applyBorder="0" applyAlignment="0" applyProtection="0"/>
    <xf numFmtId="349" fontId="61" fillId="23" borderId="0" applyNumberFormat="0" applyBorder="0" applyAlignment="0" applyProtection="0"/>
    <xf numFmtId="349" fontId="13" fillId="65" borderId="0" applyNumberFormat="0" applyBorder="0" applyAlignment="0" applyProtection="0"/>
    <xf numFmtId="349" fontId="13" fillId="12" borderId="0" applyNumberFormat="0" applyBorder="0" applyAlignment="0" applyProtection="0"/>
    <xf numFmtId="349" fontId="14" fillId="121" borderId="0" applyNumberFormat="0" applyBorder="0" applyAlignment="0" applyProtection="0"/>
    <xf numFmtId="349" fontId="14" fillId="66" borderId="0" applyNumberFormat="0" applyBorder="0" applyAlignment="0" applyProtection="0"/>
    <xf numFmtId="349" fontId="14" fillId="66" borderId="0" applyNumberFormat="0" applyBorder="0" applyAlignment="0" applyProtection="0"/>
    <xf numFmtId="349" fontId="13" fillId="68" borderId="0" applyNumberFormat="0" applyBorder="0" applyAlignment="0" applyProtection="0"/>
    <xf numFmtId="349" fontId="13" fillId="11" borderId="0" applyNumberFormat="0" applyBorder="0" applyAlignment="0" applyProtection="0"/>
    <xf numFmtId="349" fontId="14" fillId="8" borderId="0" applyNumberFormat="0" applyBorder="0" applyAlignment="0" applyProtection="0"/>
    <xf numFmtId="349" fontId="14" fillId="69" borderId="0" applyNumberFormat="0" applyBorder="0" applyAlignment="0" applyProtection="0"/>
    <xf numFmtId="349" fontId="14" fillId="69" borderId="0" applyNumberFormat="0" applyBorder="0" applyAlignment="0" applyProtection="0"/>
    <xf numFmtId="349" fontId="13" fillId="70" borderId="0" applyNumberFormat="0" applyBorder="0" applyAlignment="0" applyProtection="0"/>
    <xf numFmtId="349" fontId="13" fillId="71" borderId="0" applyNumberFormat="0" applyBorder="0" applyAlignment="0" applyProtection="0"/>
    <xf numFmtId="349" fontId="14" fillId="122" borderId="0" applyNumberFormat="0" applyBorder="0" applyAlignment="0" applyProtection="0"/>
    <xf numFmtId="349" fontId="14" fillId="123" borderId="0" applyNumberFormat="0" applyBorder="0" applyAlignment="0" applyProtection="0"/>
    <xf numFmtId="349" fontId="14" fillId="123" borderId="0" applyNumberFormat="0" applyBorder="0" applyAlignment="0" applyProtection="0"/>
    <xf numFmtId="349" fontId="13" fillId="68" borderId="0" applyNumberFormat="0" applyBorder="0" applyAlignment="0" applyProtection="0"/>
    <xf numFmtId="349" fontId="13" fillId="9" borderId="0" applyNumberFormat="0" applyBorder="0" applyAlignment="0" applyProtection="0"/>
    <xf numFmtId="349" fontId="14" fillId="11" borderId="0" applyNumberFormat="0" applyBorder="0" applyAlignment="0" applyProtection="0"/>
    <xf numFmtId="349" fontId="14" fillId="124" borderId="0" applyNumberFormat="0" applyBorder="0" applyAlignment="0" applyProtection="0"/>
    <xf numFmtId="349" fontId="14" fillId="124" borderId="0" applyNumberFormat="0" applyBorder="0" applyAlignment="0" applyProtection="0"/>
    <xf numFmtId="349" fontId="13" fillId="10" borderId="0" applyNumberFormat="0" applyBorder="0" applyAlignment="0" applyProtection="0"/>
    <xf numFmtId="349" fontId="13" fillId="5" borderId="0" applyNumberFormat="0" applyBorder="0" applyAlignment="0" applyProtection="0"/>
    <xf numFmtId="349" fontId="14" fillId="121" borderId="0" applyNumberFormat="0" applyBorder="0" applyAlignment="0" applyProtection="0"/>
    <xf numFmtId="349" fontId="14" fillId="121" borderId="0" applyNumberFormat="0" applyBorder="0" applyAlignment="0" applyProtection="0"/>
    <xf numFmtId="349" fontId="14" fillId="121" borderId="0" applyNumberFormat="0" applyBorder="0" applyAlignment="0" applyProtection="0"/>
    <xf numFmtId="349" fontId="13" fillId="13" borderId="0" applyNumberFormat="0" applyBorder="0" applyAlignment="0" applyProtection="0"/>
    <xf numFmtId="349" fontId="13" fillId="14" borderId="0" applyNumberFormat="0" applyBorder="0" applyAlignment="0" applyProtection="0"/>
    <xf numFmtId="349" fontId="14" fillId="125" borderId="0" applyNumberFormat="0" applyBorder="0" applyAlignment="0" applyProtection="0"/>
    <xf numFmtId="349" fontId="14" fillId="126" borderId="0" applyNumberFormat="0" applyBorder="0" applyAlignment="0" applyProtection="0"/>
    <xf numFmtId="349" fontId="14" fillId="126" borderId="0" applyNumberFormat="0" applyBorder="0" applyAlignment="0" applyProtection="0"/>
    <xf numFmtId="349" fontId="253" fillId="13" borderId="0" applyNumberFormat="0" applyBorder="0" applyAlignment="0" applyProtection="0"/>
    <xf numFmtId="349" fontId="253" fillId="13" borderId="0" applyNumberFormat="0" applyBorder="0" applyAlignment="0" applyProtection="0"/>
    <xf numFmtId="349" fontId="254" fillId="127" borderId="107" applyNumberFormat="0" applyAlignment="0" applyProtection="0"/>
    <xf numFmtId="349" fontId="254" fillId="127" borderId="107" applyNumberFormat="0" applyAlignment="0" applyProtection="0"/>
    <xf numFmtId="349" fontId="90" fillId="124" borderId="15" applyNumberFormat="0" applyAlignment="0" applyProtection="0"/>
    <xf numFmtId="349" fontId="90" fillId="124" borderId="15" applyNumberFormat="0" applyAlignment="0" applyProtection="0"/>
    <xf numFmtId="37" fontId="64" fillId="0" borderId="88">
      <alignment horizontal="center"/>
    </xf>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349" fontId="15" fillId="128" borderId="0" applyNumberFormat="0" applyBorder="0" applyAlignment="0" applyProtection="0"/>
    <xf numFmtId="349" fontId="15" fillId="129" borderId="0" applyNumberFormat="0" applyBorder="0" applyAlignment="0" applyProtection="0"/>
    <xf numFmtId="349" fontId="15" fillId="17" borderId="0" applyNumberFormat="0" applyBorder="0" applyAlignment="0" applyProtection="0"/>
    <xf numFmtId="349" fontId="49" fillId="0" borderId="0" applyFont="0" applyFill="0" applyBorder="0" applyAlignment="0" applyProtection="0"/>
    <xf numFmtId="349" fontId="255" fillId="0" borderId="0" applyNumberFormat="0" applyFill="0" applyBorder="0" applyAlignment="0" applyProtection="0"/>
    <xf numFmtId="349" fontId="255" fillId="0" borderId="0" applyNumberFormat="0" applyFill="0" applyBorder="0" applyAlignment="0" applyProtection="0"/>
    <xf numFmtId="349" fontId="13" fillId="71" borderId="0" applyNumberFormat="0" applyBorder="0" applyAlignment="0" applyProtection="0"/>
    <xf numFmtId="349" fontId="13" fillId="71" borderId="0" applyNumberForma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122" fillId="0" borderId="29" applyNumberFormat="0" applyFill="0" applyAlignment="0" applyProtection="0"/>
    <xf numFmtId="349" fontId="122" fillId="0" borderId="29" applyNumberFormat="0" applyFill="0" applyAlignment="0" applyProtection="0"/>
    <xf numFmtId="349" fontId="125" fillId="0" borderId="108" applyNumberFormat="0" applyFill="0" applyAlignment="0" applyProtection="0"/>
    <xf numFmtId="349" fontId="125" fillId="0" borderId="108" applyNumberFormat="0" applyFill="0" applyAlignment="0" applyProtection="0"/>
    <xf numFmtId="349" fontId="128" fillId="0" borderId="109" applyNumberFormat="0" applyFill="0" applyAlignment="0" applyProtection="0"/>
    <xf numFmtId="349" fontId="128" fillId="0" borderId="109" applyNumberFormat="0" applyFill="0" applyAlignment="0" applyProtection="0"/>
    <xf numFmtId="349" fontId="128" fillId="0" borderId="0" applyNumberFormat="0" applyFill="0" applyBorder="0" applyAlignment="0" applyProtection="0"/>
    <xf numFmtId="349" fontId="128" fillId="0" borderId="0" applyNumberFormat="0" applyFill="0" applyBorder="0" applyAlignment="0" applyProtection="0"/>
    <xf numFmtId="349" fontId="142" fillId="14" borderId="107" applyNumberFormat="0" applyAlignment="0" applyProtection="0"/>
    <xf numFmtId="349" fontId="142" fillId="14" borderId="107" applyNumberFormat="0" applyAlignment="0" applyProtection="0"/>
    <xf numFmtId="349" fontId="145" fillId="34" borderId="0"/>
    <xf numFmtId="349" fontId="118" fillId="0" borderId="110" applyNumberFormat="0" applyFill="0" applyAlignment="0" applyProtection="0"/>
    <xf numFmtId="349" fontId="118" fillId="0" borderId="110" applyNumberFormat="0" applyFill="0" applyAlignment="0" applyProtection="0"/>
    <xf numFmtId="349" fontId="118" fillId="14" borderId="0" applyNumberFormat="0" applyBorder="0" applyAlignment="0" applyProtection="0"/>
    <xf numFmtId="349" fontId="118" fillId="14" borderId="0" applyNumberFormat="0" applyBorder="0" applyAlignment="0" applyProtection="0"/>
    <xf numFmtId="349" fontId="24" fillId="0" borderId="0"/>
    <xf numFmtId="349" fontId="24" fillId="0" borderId="0"/>
    <xf numFmtId="349" fontId="24" fillId="0" borderId="0"/>
    <xf numFmtId="349" fontId="24" fillId="0" borderId="0"/>
    <xf numFmtId="349" fontId="24" fillId="0" borderId="0"/>
    <xf numFmtId="349" fontId="9" fillId="0" borderId="0"/>
    <xf numFmtId="349" fontId="9" fillId="0" borderId="0"/>
    <xf numFmtId="349" fontId="9" fillId="0" borderId="0"/>
    <xf numFmtId="349" fontId="9" fillId="0" borderId="0"/>
    <xf numFmtId="0" fontId="7" fillId="0" borderId="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13" fillId="0" borderId="0"/>
    <xf numFmtId="349" fontId="13" fillId="0" borderId="0" applyFill="0" applyBorder="0" applyAlignment="0" applyProtection="0"/>
    <xf numFmtId="349" fontId="9"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13" fillId="0" borderId="0" applyFill="0" applyBorder="0" applyAlignment="0" applyProtection="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7"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9" fillId="0" borderId="0"/>
    <xf numFmtId="349" fontId="9" fillId="0" borderId="0"/>
    <xf numFmtId="349" fontId="9" fillId="0" borderId="0"/>
    <xf numFmtId="349" fontId="28" fillId="0" borderId="0"/>
    <xf numFmtId="349" fontId="6" fillId="0" borderId="0"/>
    <xf numFmtId="349" fontId="9"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9" fillId="0" borderId="0"/>
    <xf numFmtId="349" fontId="9" fillId="0" borderId="0"/>
    <xf numFmtId="349" fontId="9" fillId="0" borderId="0"/>
    <xf numFmtId="349" fontId="9"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6" fillId="0" borderId="0"/>
    <xf numFmtId="349" fontId="6" fillId="0" borderId="0"/>
    <xf numFmtId="349" fontId="6" fillId="0" borderId="0"/>
    <xf numFmtId="349" fontId="6" fillId="0" borderId="0"/>
    <xf numFmtId="349" fontId="6" fillId="0" borderId="0"/>
    <xf numFmtId="349" fontId="6"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6" fillId="0" borderId="0"/>
    <xf numFmtId="349" fontId="6"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9" fillId="0" borderId="0"/>
    <xf numFmtId="349" fontId="13" fillId="0" borderId="0" applyFill="0" applyBorder="0" applyAlignment="0" applyProtection="0"/>
    <xf numFmtId="349" fontId="24"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2" fillId="0" borderId="0">
      <alignment vertical="top"/>
    </xf>
    <xf numFmtId="349" fontId="106" fillId="0" borderId="0" applyFill="0" applyBorder="0">
      <protection locked="0"/>
    </xf>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330" fontId="24" fillId="90" borderId="26">
      <alignment vertical="center"/>
    </xf>
    <xf numFmtId="172" fontId="24" fillId="90" borderId="26">
      <alignment vertical="center"/>
    </xf>
    <xf numFmtId="172" fontId="24" fillId="90" borderId="26">
      <alignment vertical="center"/>
    </xf>
    <xf numFmtId="349" fontId="24" fillId="90" borderId="26">
      <alignment vertical="center"/>
    </xf>
    <xf numFmtId="349" fontId="24" fillId="90" borderId="26">
      <alignment vertical="center"/>
    </xf>
    <xf numFmtId="349" fontId="24" fillId="90" borderId="26">
      <alignment vertical="center"/>
    </xf>
    <xf numFmtId="349" fontId="24" fillId="90" borderId="26">
      <alignment vertical="center"/>
    </xf>
    <xf numFmtId="176" fontId="24" fillId="90" borderId="26">
      <alignment vertical="center"/>
    </xf>
    <xf numFmtId="176" fontId="24" fillId="90" borderId="26">
      <alignment vertical="center"/>
    </xf>
    <xf numFmtId="330" fontId="24" fillId="90" borderId="26">
      <alignment vertical="center"/>
    </xf>
    <xf numFmtId="349" fontId="197" fillId="0" borderId="0"/>
    <xf numFmtId="349" fontId="24" fillId="36" borderId="26">
      <alignment vertical="center"/>
      <protection locked="0"/>
    </xf>
    <xf numFmtId="349" fontId="24" fillId="36" borderId="26">
      <alignment vertical="center"/>
      <protection locked="0"/>
    </xf>
    <xf numFmtId="349" fontId="24" fillId="36" borderId="26">
      <alignment vertical="center"/>
      <protection locked="0"/>
    </xf>
    <xf numFmtId="349" fontId="24" fillId="36" borderId="26">
      <alignment vertical="center"/>
      <protection locked="0"/>
    </xf>
    <xf numFmtId="330" fontId="24" fillId="38" borderId="26">
      <alignment vertical="center"/>
    </xf>
    <xf numFmtId="349" fontId="24" fillId="38" borderId="26">
      <alignment vertical="center"/>
    </xf>
    <xf numFmtId="349" fontId="24" fillId="38" borderId="26">
      <alignment vertical="center"/>
    </xf>
    <xf numFmtId="349" fontId="24" fillId="38" borderId="26">
      <alignment vertical="center"/>
    </xf>
    <xf numFmtId="349" fontId="24" fillId="38" borderId="26">
      <alignment vertical="center"/>
    </xf>
    <xf numFmtId="349" fontId="24" fillId="39" borderId="26">
      <alignment horizontal="right" vertical="center"/>
      <protection locked="0"/>
    </xf>
    <xf numFmtId="349" fontId="24" fillId="39" borderId="26">
      <alignment horizontal="right" vertical="center"/>
      <protection locked="0"/>
    </xf>
    <xf numFmtId="330" fontId="24" fillId="39" borderId="26">
      <alignment horizontal="right" vertical="center"/>
      <protection locked="0"/>
    </xf>
    <xf numFmtId="330" fontId="24" fillId="39" borderId="26">
      <alignment horizontal="right" vertical="center"/>
      <protection locked="0"/>
    </xf>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9" fillId="30" borderId="112" applyNumberFormat="0" applyProtection="0">
      <alignment horizontal="left" vertical="center"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3" borderId="49" applyNumberFormat="0">
      <protection locked="0"/>
    </xf>
    <xf numFmtId="349" fontId="9" fillId="33" borderId="26"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93" fillId="31" borderId="114" applyBorder="0"/>
    <xf numFmtId="4" fontId="258" fillId="34" borderId="112" applyNumberFormat="0" applyProtection="0">
      <alignment vertical="center"/>
    </xf>
    <xf numFmtId="4" fontId="256" fillId="36" borderId="26"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349" fontId="53" fillId="109" borderId="26"/>
    <xf numFmtId="4" fontId="260" fillId="33" borderId="107" applyNumberFormat="0" applyProtection="0">
      <alignment horizontal="right" vertical="center"/>
    </xf>
    <xf numFmtId="349" fontId="23" fillId="0" borderId="0" applyNumberFormat="0" applyFill="0" applyBorder="0" applyAlignment="0" applyProtection="0"/>
    <xf numFmtId="349" fontId="9" fillId="0" borderId="0" applyFont="0" applyFill="0" applyBorder="0" applyAlignment="0" applyProtection="0"/>
    <xf numFmtId="37" fontId="64" fillId="0" borderId="115" applyNumberFormat="0"/>
    <xf numFmtId="349" fontId="225" fillId="0" borderId="54" applyNumberFormat="0" applyAlignment="0" applyProtection="0"/>
    <xf numFmtId="349" fontId="23" fillId="0" borderId="0" applyNumberFormat="0" applyFill="0" applyBorder="0" applyAlignment="0" applyProtection="0"/>
    <xf numFmtId="349" fontId="23" fillId="0" borderId="0" applyNumberFormat="0" applyFill="0" applyBorder="0" applyAlignment="0" applyProtection="0"/>
    <xf numFmtId="214" fontId="64" fillId="0" borderId="28" applyFill="0"/>
    <xf numFmtId="349" fontId="15" fillId="0" borderId="116" applyNumberFormat="0" applyFill="0" applyAlignment="0" applyProtection="0"/>
    <xf numFmtId="349" fontId="15" fillId="0" borderId="116" applyNumberFormat="0" applyFill="0" applyAlignment="0" applyProtection="0"/>
    <xf numFmtId="349" fontId="261" fillId="0" borderId="0" applyNumberFormat="0" applyFill="0" applyBorder="0" applyAlignment="0" applyProtection="0"/>
    <xf numFmtId="349" fontId="261" fillId="0" borderId="0" applyNumberFormat="0" applyFill="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2" fontId="7" fillId="101" borderId="26">
      <alignment vertical="center"/>
    </xf>
    <xf numFmtId="176" fontId="7" fillId="101" borderId="26">
      <alignment vertical="center"/>
    </xf>
    <xf numFmtId="330" fontId="7" fillId="101" borderId="26">
      <alignment vertical="center"/>
    </xf>
    <xf numFmtId="330" fontId="7" fillId="43" borderId="26">
      <alignment vertical="center"/>
    </xf>
    <xf numFmtId="330" fontId="7" fillId="44" borderId="26">
      <alignment horizontal="right" vertical="center"/>
      <protection locked="0"/>
    </xf>
    <xf numFmtId="0" fontId="12" fillId="0" borderId="0"/>
    <xf numFmtId="0" fontId="12" fillId="0" borderId="0"/>
    <xf numFmtId="0" fontId="12" fillId="0" borderId="0"/>
    <xf numFmtId="0" fontId="12" fillId="0" borderId="0"/>
    <xf numFmtId="0" fontId="12" fillId="0" borderId="0"/>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214" fontId="64" fillId="0" borderId="28" applyFill="0"/>
    <xf numFmtId="0" fontId="12" fillId="0" borderId="0"/>
    <xf numFmtId="0" fontId="12" fillId="0" borderId="0"/>
    <xf numFmtId="169" fontId="7" fillId="0" borderId="0" applyFont="0" applyFill="0" applyBorder="0" applyAlignment="0" applyProtection="0"/>
    <xf numFmtId="0" fontId="12" fillId="0" borderId="0"/>
    <xf numFmtId="349" fontId="53" fillId="30" borderId="112" applyNumberFormat="0" applyProtection="0">
      <alignment horizontal="left" vertical="top"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254" fillId="127" borderId="107" applyNumberFormat="0" applyAlignment="0" applyProtection="0"/>
    <xf numFmtId="349" fontId="254" fillId="127"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28" fillId="0" borderId="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5"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19" borderId="107" applyNumberFormat="0" applyProtection="0">
      <alignment horizontal="right" vertical="center"/>
    </xf>
    <xf numFmtId="349" fontId="53" fillId="61" borderId="107" applyNumberFormat="0" applyProtection="0">
      <alignment horizontal="left" vertical="center" indent="1"/>
    </xf>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9" fillId="30" borderId="112" applyNumberFormat="0" applyProtection="0">
      <alignment horizontal="left" vertical="center"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2" borderId="107" applyNumberFormat="0" applyProtection="0">
      <alignment horizontal="left" vertical="center" indent="1"/>
    </xf>
    <xf numFmtId="349" fontId="93" fillId="31" borderId="114" applyBorder="0"/>
    <xf numFmtId="4" fontId="258" fillId="34" borderId="112"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349" fontId="9" fillId="30" borderId="112" applyNumberFormat="0" applyProtection="0">
      <alignment horizontal="left" vertical="center"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254" fillId="127" borderId="107" applyNumberFormat="0" applyAlignment="0" applyProtection="0"/>
    <xf numFmtId="349" fontId="254" fillId="127" borderId="107" applyNumberFormat="0" applyAlignment="0" applyProtection="0"/>
    <xf numFmtId="4" fontId="53" fillId="23" borderId="107" applyNumberFormat="0" applyProtection="0">
      <alignment horizontal="right" vertical="center"/>
    </xf>
    <xf numFmtId="4" fontId="53" fillId="24" borderId="107" applyNumberFormat="0" applyProtection="0">
      <alignment horizontal="right" vertical="center"/>
    </xf>
    <xf numFmtId="349" fontId="53" fillId="83" borderId="107" applyNumberFormat="0" applyProtection="0">
      <alignment horizontal="left" vertical="center" indent="1"/>
    </xf>
    <xf numFmtId="214" fontId="64" fillId="0" borderId="28" applyFill="0"/>
    <xf numFmtId="4" fontId="53" fillId="26" borderId="107" applyNumberFormat="0" applyProtection="0">
      <alignment horizontal="right" vertical="center"/>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3" fillId="31" borderId="114" applyBorder="0"/>
    <xf numFmtId="4" fontId="258" fillId="34" borderId="112"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349" fontId="53" fillId="30" borderId="107" applyNumberFormat="0" applyProtection="0">
      <alignment horizontal="left" vertical="center" indent="1"/>
    </xf>
    <xf numFmtId="349" fontId="254" fillId="127" borderId="107" applyNumberFormat="0" applyAlignment="0" applyProtection="0"/>
    <xf numFmtId="349" fontId="254" fillId="127" borderId="107" applyNumberFormat="0" applyAlignment="0" applyProtection="0"/>
    <xf numFmtId="214" fontId="64" fillId="0" borderId="28" applyFill="0"/>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4" fontId="260" fillId="33" borderId="107" applyNumberFormat="0" applyProtection="0">
      <alignment horizontal="right" vertical="center"/>
    </xf>
    <xf numFmtId="349" fontId="254" fillId="127" borderId="107" applyNumberFormat="0" applyAlignment="0" applyProtection="0"/>
    <xf numFmtId="349" fontId="254" fillId="127"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28" fillId="0" borderId="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9" fillId="30" borderId="112" applyNumberFormat="0" applyProtection="0">
      <alignment horizontal="left" vertical="center"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3" fillId="31" borderId="114" applyBorder="0"/>
    <xf numFmtId="4" fontId="258" fillId="34" borderId="112"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214" fontId="64" fillId="0" borderId="28" applyFill="0"/>
    <xf numFmtId="349" fontId="28" fillId="0" borderId="0"/>
    <xf numFmtId="349" fontId="53" fillId="30" borderId="112" applyNumberFormat="0" applyProtection="0">
      <alignment horizontal="left" vertical="top"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254" fillId="127" borderId="107" applyNumberFormat="0" applyAlignment="0" applyProtection="0"/>
    <xf numFmtId="349" fontId="254" fillId="127"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28" fillId="0" borderId="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5"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19" borderId="107" applyNumberFormat="0" applyProtection="0">
      <alignment horizontal="right" vertical="center"/>
    </xf>
    <xf numFmtId="349" fontId="53" fillId="61" borderId="107" applyNumberFormat="0" applyProtection="0">
      <alignment horizontal="left" vertical="center" indent="1"/>
    </xf>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9" fillId="30" borderId="112" applyNumberFormat="0" applyProtection="0">
      <alignment horizontal="left" vertical="center"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2" borderId="107" applyNumberFormat="0" applyProtection="0">
      <alignment horizontal="left" vertical="center" indent="1"/>
    </xf>
    <xf numFmtId="349" fontId="93" fillId="31" borderId="114" applyBorder="0"/>
    <xf numFmtId="4" fontId="258" fillId="34" borderId="112"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349" fontId="9" fillId="30" borderId="112" applyNumberFormat="0" applyProtection="0">
      <alignment horizontal="left" vertical="center"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254" fillId="127" borderId="107" applyNumberFormat="0" applyAlignment="0" applyProtection="0"/>
    <xf numFmtId="349" fontId="254" fillId="127" borderId="107" applyNumberFormat="0" applyAlignment="0" applyProtection="0"/>
    <xf numFmtId="4" fontId="53" fillId="23" borderId="107" applyNumberFormat="0" applyProtection="0">
      <alignment horizontal="right" vertical="center"/>
    </xf>
    <xf numFmtId="4" fontId="53" fillId="24" borderId="107" applyNumberFormat="0" applyProtection="0">
      <alignment horizontal="right" vertical="center"/>
    </xf>
    <xf numFmtId="349" fontId="53" fillId="83" borderId="107" applyNumberFormat="0" applyProtection="0">
      <alignment horizontal="left" vertical="center" indent="1"/>
    </xf>
    <xf numFmtId="214" fontId="64" fillId="0" borderId="28" applyFill="0"/>
    <xf numFmtId="4" fontId="53" fillId="26" borderId="107" applyNumberFormat="0" applyProtection="0">
      <alignment horizontal="right" vertical="center"/>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3" fillId="31" borderId="114" applyBorder="0"/>
    <xf numFmtId="4" fontId="258" fillId="34" borderId="112"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349" fontId="53" fillId="30" borderId="107" applyNumberFormat="0" applyProtection="0">
      <alignment horizontal="left" vertical="center" indent="1"/>
    </xf>
    <xf numFmtId="349" fontId="254" fillId="127" borderId="107" applyNumberFormat="0" applyAlignment="0" applyProtection="0"/>
    <xf numFmtId="349" fontId="254" fillId="127" borderId="107" applyNumberFormat="0" applyAlignment="0" applyProtection="0"/>
    <xf numFmtId="214" fontId="64" fillId="0" borderId="28" applyFill="0"/>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4" fontId="260" fillId="33" borderId="107" applyNumberFormat="0" applyProtection="0">
      <alignment horizontal="right" vertical="center"/>
    </xf>
    <xf numFmtId="349" fontId="53" fillId="32"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9" fillId="32" borderId="112" applyNumberFormat="0" applyProtection="0">
      <alignment horizontal="left" vertical="top" indent="1"/>
    </xf>
    <xf numFmtId="349" fontId="53" fillId="32" borderId="107" applyNumberFormat="0" applyProtection="0">
      <alignment horizontal="left" vertical="center" indent="1"/>
    </xf>
    <xf numFmtId="349" fontId="53" fillId="31" borderId="112" applyNumberFormat="0" applyProtection="0">
      <alignment horizontal="left" vertical="top" indent="1"/>
    </xf>
    <xf numFmtId="349" fontId="53" fillId="13" borderId="107" applyNumberFormat="0" applyFont="0" applyAlignment="0" applyProtection="0"/>
    <xf numFmtId="349" fontId="53" fillId="30" borderId="112" applyNumberFormat="0" applyProtection="0">
      <alignment horizontal="left" vertical="top" indent="1"/>
    </xf>
    <xf numFmtId="349" fontId="53" fillId="19" borderId="112" applyNumberFormat="0" applyProtection="0">
      <alignment horizontal="left" vertical="top" indent="1"/>
    </xf>
    <xf numFmtId="349" fontId="254" fillId="127" borderId="107" applyNumberFormat="0" applyAlignment="0" applyProtection="0"/>
    <xf numFmtId="349" fontId="15" fillId="0" borderId="116" applyNumberFormat="0" applyFill="0" applyAlignment="0" applyProtection="0"/>
    <xf numFmtId="349" fontId="15" fillId="0" borderId="116" applyNumberFormat="0" applyFill="0" applyAlignment="0" applyProtection="0"/>
    <xf numFmtId="37" fontId="64" fillId="0" borderId="115" applyNumberFormat="0"/>
    <xf numFmtId="4" fontId="260" fillId="33" borderId="107" applyNumberFormat="0" applyProtection="0">
      <alignment horizontal="right" vertical="center"/>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28" fillId="0" borderId="0"/>
    <xf numFmtId="349" fontId="142" fillId="14" borderId="107" applyNumberFormat="0" applyAlignment="0" applyProtection="0"/>
    <xf numFmtId="349" fontId="142" fillId="14" borderId="107" applyNumberFormat="0" applyAlignment="0" applyProtection="0"/>
    <xf numFmtId="349" fontId="254" fillId="127" borderId="107" applyNumberFormat="0" applyAlignment="0" applyProtection="0"/>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9" fillId="19" borderId="112" applyNumberFormat="0" applyProtection="0">
      <alignment horizontal="left" vertical="top" indent="1"/>
    </xf>
    <xf numFmtId="349" fontId="53" fillId="31" borderId="112" applyNumberFormat="0" applyProtection="0">
      <alignment horizontal="left" vertical="top" indent="1"/>
    </xf>
    <xf numFmtId="349" fontId="93" fillId="31" borderId="114" applyBorder="0"/>
    <xf numFmtId="349" fontId="53" fillId="13" borderId="107" applyNumberFormat="0" applyFont="0" applyAlignment="0" applyProtection="0"/>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258" fillId="19" borderId="112" applyNumberFormat="0" applyProtection="0">
      <alignment horizontal="left" vertical="top" indent="1"/>
    </xf>
    <xf numFmtId="349" fontId="53" fillId="30" borderId="107" applyNumberFormat="0" applyProtection="0">
      <alignment horizontal="left" vertical="center" indent="1"/>
    </xf>
    <xf numFmtId="214" fontId="64" fillId="0" borderId="28" applyFill="0"/>
    <xf numFmtId="349" fontId="254" fillId="127" borderId="107" applyNumberFormat="0" applyAlignment="0" applyProtection="0"/>
    <xf numFmtId="349" fontId="254" fillId="127" borderId="107" applyNumberFormat="0" applyAlignment="0" applyProtection="0"/>
    <xf numFmtId="349" fontId="53" fillId="31" borderId="112" applyNumberFormat="0" applyProtection="0">
      <alignment horizontal="left" vertical="top" indent="1"/>
    </xf>
    <xf numFmtId="349" fontId="53" fillId="30" borderId="112" applyNumberFormat="0" applyProtection="0">
      <alignment horizontal="left" vertical="top" indent="1"/>
    </xf>
    <xf numFmtId="169" fontId="7" fillId="0" borderId="0" applyFont="0" applyFill="0" applyBorder="0" applyAlignment="0" applyProtection="0"/>
    <xf numFmtId="349" fontId="53" fillId="30" borderId="112" applyNumberFormat="0" applyProtection="0">
      <alignment horizontal="left" vertical="top" indent="1"/>
    </xf>
    <xf numFmtId="169" fontId="6" fillId="0" borderId="0" applyFont="0" applyFill="0" applyBorder="0" applyAlignment="0" applyProtection="0"/>
    <xf numFmtId="349" fontId="93" fillId="31" borderId="114" applyBorder="0"/>
    <xf numFmtId="4" fontId="53" fillId="24" borderId="107" applyNumberFormat="0" applyProtection="0">
      <alignment horizontal="right" vertical="center"/>
    </xf>
    <xf numFmtId="349" fontId="53" fillId="13" borderId="107" applyNumberFormat="0" applyFont="0" applyAlignment="0" applyProtection="0"/>
    <xf numFmtId="4" fontId="53" fillId="19" borderId="113" applyNumberFormat="0" applyProtection="0">
      <alignment horizontal="left" vertical="center" indent="1"/>
    </xf>
    <xf numFmtId="4" fontId="53" fillId="25" borderId="107" applyNumberFormat="0" applyProtection="0">
      <alignment horizontal="right" vertical="center"/>
    </xf>
    <xf numFmtId="349" fontId="53" fillId="61" borderId="107" applyNumberFormat="0" applyProtection="0">
      <alignment horizontal="left" vertical="center" indent="1"/>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4" fontId="258" fillId="34" borderId="112" applyNumberFormat="0" applyProtection="0">
      <alignment vertical="center"/>
    </xf>
    <xf numFmtId="349" fontId="93" fillId="31" borderId="114" applyBorder="0"/>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214" fontId="64" fillId="0" borderId="28" applyFill="0"/>
    <xf numFmtId="349" fontId="53" fillId="83" borderId="107" applyNumberFormat="0" applyProtection="0">
      <alignment horizontal="left" vertical="center" indent="1"/>
    </xf>
    <xf numFmtId="4" fontId="53" fillId="23" borderId="107" applyNumberFormat="0" applyProtection="0">
      <alignment horizontal="right" vertical="center"/>
    </xf>
    <xf numFmtId="349" fontId="254" fillId="127" borderId="107" applyNumberFormat="0" applyAlignment="0" applyProtection="0"/>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9" fillId="30" borderId="112" applyNumberFormat="0" applyProtection="0">
      <alignment horizontal="left" vertical="center" indent="1"/>
    </xf>
    <xf numFmtId="349" fontId="15" fillId="0" borderId="116" applyNumberFormat="0" applyFill="0" applyAlignment="0" applyProtection="0"/>
    <xf numFmtId="349" fontId="15" fillId="0" borderId="116" applyNumberFormat="0" applyFill="0" applyAlignment="0" applyProtection="0"/>
    <xf numFmtId="37" fontId="64" fillId="0" borderId="115" applyNumberFormat="0"/>
    <xf numFmtId="4" fontId="260" fillId="33" borderId="107" applyNumberFormat="0" applyProtection="0">
      <alignment horizontal="right" vertical="center"/>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93" fillId="31" borderId="114" applyBorder="0"/>
    <xf numFmtId="349" fontId="53" fillId="32" borderId="107" applyNumberFormat="0" applyProtection="0">
      <alignment horizontal="left" vertical="center"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254" fillId="127" borderId="107" applyNumberFormat="0" applyAlignment="0" applyProtection="0"/>
    <xf numFmtId="349" fontId="254" fillId="127"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258" fillId="19"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169" fontId="13" fillId="0" borderId="0" applyFont="0" applyFill="0" applyBorder="0" applyAlignment="0" applyProtection="0"/>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169" fontId="13"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53" fillId="31" borderId="112" applyNumberFormat="0" applyProtection="0">
      <alignment horizontal="left" vertical="top" indent="1"/>
    </xf>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4" fontId="53" fillId="0" borderId="107" applyNumberFormat="0" applyProtection="0">
      <alignment horizontal="right" vertical="center"/>
    </xf>
    <xf numFmtId="349" fontId="15" fillId="0" borderId="116" applyNumberFormat="0" applyFill="0" applyAlignment="0" applyProtection="0"/>
    <xf numFmtId="349" fontId="15" fillId="0" borderId="116" applyNumberFormat="0" applyFill="0" applyAlignment="0" applyProtection="0"/>
    <xf numFmtId="37" fontId="64" fillId="0" borderId="115" applyNumberFormat="0"/>
    <xf numFmtId="4" fontId="260" fillId="33" borderId="107" applyNumberFormat="0" applyProtection="0">
      <alignment horizontal="right" vertical="center"/>
    </xf>
    <xf numFmtId="4" fontId="259" fillId="35" borderId="113" applyNumberFormat="0" applyProtection="0">
      <alignment horizontal="left" vertical="center"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4" fontId="53" fillId="26" borderId="107" applyNumberFormat="0" applyProtection="0">
      <alignment horizontal="right" vertical="center"/>
    </xf>
    <xf numFmtId="214" fontId="64" fillId="0" borderId="28" applyFill="0"/>
    <xf numFmtId="349" fontId="53" fillId="83" borderId="107" applyNumberFormat="0" applyProtection="0">
      <alignment horizontal="left" vertical="center" indent="1"/>
    </xf>
    <xf numFmtId="4" fontId="53" fillId="24" borderId="107" applyNumberFormat="0" applyProtection="0">
      <alignment horizontal="right" vertical="center"/>
    </xf>
    <xf numFmtId="4" fontId="53" fillId="23" borderId="107" applyNumberFormat="0" applyProtection="0">
      <alignment horizontal="right" vertical="center"/>
    </xf>
    <xf numFmtId="349" fontId="254" fillId="127" borderId="107" applyNumberFormat="0" applyAlignment="0" applyProtection="0"/>
    <xf numFmtId="349" fontId="254" fillId="127" borderId="107" applyNumberFormat="0" applyAlignment="0" applyProtection="0"/>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9" fillId="30" borderId="112" applyNumberFormat="0" applyProtection="0">
      <alignment horizontal="left" vertical="center" indent="1"/>
    </xf>
    <xf numFmtId="349" fontId="15" fillId="0" borderId="116" applyNumberFormat="0" applyFill="0" applyAlignment="0" applyProtection="0"/>
    <xf numFmtId="349" fontId="15" fillId="0" borderId="116" applyNumberFormat="0" applyFill="0" applyAlignment="0" applyProtection="0"/>
    <xf numFmtId="37" fontId="64" fillId="0" borderId="115" applyNumberFormat="0"/>
    <xf numFmtId="4" fontId="260" fillId="33" borderId="107" applyNumberFormat="0" applyProtection="0">
      <alignment horizontal="right" vertical="center"/>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93" fillId="31" borderId="114" applyBorder="0"/>
    <xf numFmtId="349" fontId="53" fillId="32" borderId="107" applyNumberFormat="0" applyProtection="0">
      <alignment horizontal="left" vertical="center"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53" fillId="61" borderId="107" applyNumberFormat="0" applyProtection="0">
      <alignment horizontal="left" vertical="center" indent="1"/>
    </xf>
    <xf numFmtId="4" fontId="53" fillId="19" borderId="107" applyNumberFormat="0" applyProtection="0">
      <alignment horizontal="right" vertical="center"/>
    </xf>
    <xf numFmtId="4" fontId="53" fillId="28" borderId="107" applyNumberFormat="0" applyProtection="0">
      <alignment horizontal="right" vertical="center"/>
    </xf>
    <xf numFmtId="4" fontId="53" fillId="27" borderId="107" applyNumberFormat="0" applyProtection="0">
      <alignment horizontal="right" vertical="center"/>
    </xf>
    <xf numFmtId="4" fontId="53" fillId="25" borderId="107"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254" fillId="127" borderId="107" applyNumberFormat="0" applyAlignment="0" applyProtection="0"/>
    <xf numFmtId="349" fontId="254" fillId="127"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53" fillId="30" borderId="112" applyNumberFormat="0" applyProtection="0">
      <alignment horizontal="left" vertical="top" indent="1"/>
    </xf>
    <xf numFmtId="4" fontId="258" fillId="61" borderId="112" applyNumberFormat="0" applyProtection="0">
      <alignment horizontal="left" vertical="center" indent="1"/>
    </xf>
    <xf numFmtId="214" fontId="64" fillId="0" borderId="28" applyFill="0"/>
    <xf numFmtId="349" fontId="53" fillId="30" borderId="112" applyNumberFormat="0" applyProtection="0">
      <alignment horizontal="left" vertical="top" indent="1"/>
    </xf>
    <xf numFmtId="349" fontId="258" fillId="19" borderId="112" applyNumberFormat="0" applyProtection="0">
      <alignment horizontal="left" vertical="top" indent="1"/>
    </xf>
    <xf numFmtId="349" fontId="53" fillId="32" borderId="112" applyNumberFormat="0" applyProtection="0">
      <alignment horizontal="left" vertical="top" indent="1"/>
    </xf>
    <xf numFmtId="349" fontId="53" fillId="31" borderId="112" applyNumberFormat="0" applyProtection="0">
      <alignment horizontal="left" vertical="top" indent="1"/>
    </xf>
    <xf numFmtId="4" fontId="53" fillId="27" borderId="107" applyNumberFormat="0" applyProtection="0">
      <alignment horizontal="right" vertical="center"/>
    </xf>
    <xf numFmtId="349" fontId="53" fillId="19" borderId="112" applyNumberFormat="0" applyProtection="0">
      <alignment horizontal="left" vertical="top" indent="1"/>
    </xf>
    <xf numFmtId="169" fontId="12" fillId="0" borderId="0" applyFont="0" applyFill="0" applyBorder="0" applyAlignment="0" applyProtection="0"/>
    <xf numFmtId="349" fontId="53" fillId="19" borderId="112" applyNumberFormat="0" applyProtection="0">
      <alignment horizontal="left" vertical="top" indent="1"/>
    </xf>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31" borderId="112" applyNumberFormat="0" applyProtection="0">
      <alignment horizontal="left" vertical="top" indent="1"/>
    </xf>
    <xf numFmtId="4" fontId="53" fillId="64" borderId="107" applyNumberFormat="0" applyProtection="0">
      <alignment horizontal="left" vertical="center" indent="1"/>
    </xf>
    <xf numFmtId="349" fontId="53" fillId="32" borderId="112" applyNumberFormat="0" applyProtection="0">
      <alignment horizontal="left" vertical="top" indent="1"/>
    </xf>
    <xf numFmtId="349" fontId="15" fillId="0" borderId="116" applyNumberFormat="0" applyFill="0" applyAlignment="0" applyProtection="0"/>
    <xf numFmtId="349" fontId="15" fillId="0" borderId="116" applyNumberFormat="0" applyFill="0" applyAlignment="0" applyProtection="0"/>
    <xf numFmtId="4" fontId="53" fillId="28" borderId="107" applyNumberFormat="0" applyProtection="0">
      <alignment horizontal="right" vertical="center"/>
    </xf>
    <xf numFmtId="349" fontId="53" fillId="30" borderId="112" applyNumberFormat="0" applyProtection="0">
      <alignment horizontal="left" vertical="top" indent="1"/>
    </xf>
    <xf numFmtId="37" fontId="64" fillId="0" borderId="115" applyNumberFormat="0"/>
    <xf numFmtId="349" fontId="53" fillId="19" borderId="112" applyNumberFormat="0" applyProtection="0">
      <alignment horizontal="left" vertical="top" indent="1"/>
    </xf>
    <xf numFmtId="349" fontId="257" fillId="18" borderId="112" applyNumberFormat="0" applyProtection="0">
      <alignment horizontal="left" vertical="top" indent="1"/>
    </xf>
    <xf numFmtId="349" fontId="53" fillId="13" borderId="107" applyNumberFormat="0" applyFont="0" applyAlignment="0" applyProtection="0"/>
    <xf numFmtId="4" fontId="260" fillId="33" borderId="107" applyNumberFormat="0" applyProtection="0">
      <alignment horizontal="right" vertical="center"/>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93" fillId="31" borderId="114" applyBorder="0"/>
    <xf numFmtId="4" fontId="53" fillId="25" borderId="107" applyNumberFormat="0" applyProtection="0">
      <alignment horizontal="right" vertical="center"/>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4" fontId="53" fillId="27" borderId="107" applyNumberFormat="0" applyProtection="0">
      <alignment horizontal="right" vertical="center"/>
    </xf>
    <xf numFmtId="4" fontId="53" fillId="25" borderId="107" applyNumberFormat="0" applyProtection="0">
      <alignment horizontal="right" vertical="center"/>
    </xf>
    <xf numFmtId="349" fontId="184" fillId="127" borderId="111" applyNumberFormat="0" applyAlignment="0" applyProtection="0"/>
    <xf numFmtId="349" fontId="53" fillId="61" borderId="107" applyNumberFormat="0" applyProtection="0">
      <alignment horizontal="left" vertical="center" indent="1"/>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4" fontId="53" fillId="130" borderId="107" applyNumberFormat="0" applyProtection="0">
      <alignment horizontal="right" vertical="center"/>
    </xf>
    <xf numFmtId="349" fontId="53" fillId="13" borderId="107" applyNumberFormat="0" applyFont="0" applyAlignment="0" applyProtection="0"/>
    <xf numFmtId="4" fontId="53" fillId="22" borderId="113" applyNumberFormat="0" applyProtection="0">
      <alignment horizontal="right" vertical="center"/>
    </xf>
    <xf numFmtId="349" fontId="184" fillId="127" borderId="111" applyNumberFormat="0" applyAlignment="0" applyProtection="0"/>
    <xf numFmtId="349" fontId="53" fillId="13" borderId="107" applyNumberFormat="0" applyFont="0" applyAlignment="0" applyProtection="0"/>
    <xf numFmtId="4" fontId="53" fillId="20" borderId="107" applyNumberFormat="0" applyProtection="0">
      <alignment horizontal="right" vertical="center"/>
    </xf>
    <xf numFmtId="4" fontId="53" fillId="18" borderId="107" applyNumberFormat="0" applyProtection="0">
      <alignment vertical="center"/>
    </xf>
    <xf numFmtId="4" fontId="53" fillId="24" borderId="107" applyNumberFormat="0" applyProtection="0">
      <alignment horizontal="right" vertical="center"/>
    </xf>
    <xf numFmtId="4" fontId="256" fillId="45" borderId="107" applyNumberFormat="0" applyProtection="0">
      <alignment vertical="center"/>
    </xf>
    <xf numFmtId="169" fontId="12" fillId="0" borderId="0" applyFont="0" applyFill="0" applyBorder="0" applyAlignment="0" applyProtection="0"/>
    <xf numFmtId="349" fontId="142" fillId="14" borderId="107" applyNumberFormat="0" applyAlignment="0" applyProtection="0"/>
    <xf numFmtId="349" fontId="53" fillId="61" borderId="107" applyNumberFormat="0" applyProtection="0">
      <alignment horizontal="left" vertical="center" indent="1"/>
    </xf>
    <xf numFmtId="349" fontId="53" fillId="13" borderId="107" applyNumberFormat="0" applyFont="0" applyAlignment="0" applyProtection="0"/>
    <xf numFmtId="349" fontId="142" fillId="14" borderId="107" applyNumberFormat="0" applyAlignment="0" applyProtection="0"/>
    <xf numFmtId="4" fontId="256" fillId="45" borderId="107" applyNumberFormat="0" applyProtection="0">
      <alignment vertical="center"/>
    </xf>
    <xf numFmtId="169" fontId="12" fillId="0" borderId="0" applyFont="0" applyFill="0" applyBorder="0" applyAlignment="0" applyProtection="0"/>
    <xf numFmtId="4" fontId="53" fillId="19" borderId="107" applyNumberFormat="0" applyProtection="0">
      <alignment horizontal="right" vertical="center"/>
    </xf>
    <xf numFmtId="4" fontId="53" fillId="18" borderId="107" applyNumberFormat="0" applyProtection="0">
      <alignment vertical="center"/>
    </xf>
    <xf numFmtId="4" fontId="53" fillId="18" borderId="107" applyNumberFormat="0" applyProtection="0">
      <alignment vertical="center"/>
    </xf>
    <xf numFmtId="4" fontId="53" fillId="19" borderId="107" applyNumberFormat="0" applyProtection="0">
      <alignment horizontal="right" vertical="center"/>
    </xf>
    <xf numFmtId="4" fontId="53" fillId="23" borderId="107" applyNumberFormat="0" applyProtection="0">
      <alignment horizontal="right" vertical="center"/>
    </xf>
    <xf numFmtId="349" fontId="184" fillId="127" borderId="111" applyNumberFormat="0" applyAlignment="0" applyProtection="0"/>
    <xf numFmtId="349" fontId="53" fillId="13" borderId="107" applyNumberFormat="0" applyFont="0" applyAlignment="0" applyProtection="0"/>
    <xf numFmtId="4" fontId="53" fillId="130" borderId="107" applyNumberFormat="0" applyProtection="0">
      <alignment horizontal="right" vertical="center"/>
    </xf>
    <xf numFmtId="4" fontId="53" fillId="45" borderId="107" applyNumberFormat="0" applyProtection="0">
      <alignment horizontal="left" vertical="center" indent="1"/>
    </xf>
    <xf numFmtId="349" fontId="53" fillId="32" borderId="107" applyNumberFormat="0" applyProtection="0">
      <alignment horizontal="left" vertical="center" indent="1"/>
    </xf>
    <xf numFmtId="349" fontId="53" fillId="13" borderId="107" applyNumberFormat="0" applyFont="0" applyAlignment="0" applyProtection="0"/>
    <xf numFmtId="349" fontId="93" fillId="31" borderId="114" applyBorder="0"/>
    <xf numFmtId="349" fontId="15" fillId="0" borderId="116" applyNumberFormat="0" applyFill="0" applyAlignment="0" applyProtection="0"/>
    <xf numFmtId="169" fontId="12" fillId="0" borderId="0" applyFont="0" applyFill="0" applyBorder="0" applyAlignment="0" applyProtection="0"/>
    <xf numFmtId="349" fontId="254" fillId="127" borderId="107" applyNumberFormat="0" applyAlignment="0" applyProtection="0"/>
    <xf numFmtId="4" fontId="53" fillId="24" borderId="107" applyNumberFormat="0" applyProtection="0">
      <alignment horizontal="right" vertical="center"/>
    </xf>
    <xf numFmtId="349" fontId="53" fillId="13" borderId="107" applyNumberFormat="0" applyFont="0" applyAlignment="0" applyProtection="0"/>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4" fontId="53" fillId="64" borderId="107" applyNumberFormat="0" applyProtection="0">
      <alignment horizontal="left" vertical="center" indent="1"/>
    </xf>
    <xf numFmtId="349" fontId="258" fillId="19" borderId="112" applyNumberFormat="0" applyProtection="0">
      <alignment horizontal="left" vertical="top" indent="1"/>
    </xf>
    <xf numFmtId="349" fontId="15" fillId="0" borderId="116" applyNumberFormat="0" applyFill="0" applyAlignment="0" applyProtection="0"/>
    <xf numFmtId="349" fontId="53" fillId="13" borderId="107" applyNumberFormat="0" applyFont="0" applyAlignment="0" applyProtection="0"/>
    <xf numFmtId="4" fontId="256" fillId="45" borderId="107" applyNumberFormat="0" applyProtection="0">
      <alignment vertical="center"/>
    </xf>
    <xf numFmtId="349" fontId="53" fillId="83" borderId="107" applyNumberFormat="0" applyProtection="0">
      <alignment horizontal="left" vertical="center" indent="1"/>
    </xf>
    <xf numFmtId="37" fontId="64" fillId="0" borderId="115" applyNumberFormat="0"/>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53" fillId="19" borderId="112" applyNumberFormat="0" applyProtection="0">
      <alignment horizontal="left" vertical="top" indent="1"/>
    </xf>
    <xf numFmtId="349" fontId="9" fillId="32" borderId="112" applyNumberFormat="0" applyProtection="0">
      <alignment horizontal="left" vertical="top" indent="1"/>
    </xf>
    <xf numFmtId="349" fontId="53" fillId="19" borderId="112" applyNumberFormat="0" applyProtection="0">
      <alignment horizontal="left" vertical="top" indent="1"/>
    </xf>
    <xf numFmtId="349" fontId="53" fillId="61" borderId="107" applyNumberFormat="0" applyProtection="0">
      <alignment horizontal="left" vertical="center" indent="1"/>
    </xf>
    <xf numFmtId="4" fontId="53" fillId="28" borderId="107" applyNumberFormat="0" applyProtection="0">
      <alignment horizontal="right" vertical="center"/>
    </xf>
    <xf numFmtId="4" fontId="53" fillId="130" borderId="107" applyNumberFormat="0" applyProtection="0">
      <alignment horizontal="right" vertical="center"/>
    </xf>
    <xf numFmtId="4" fontId="53" fillId="64" borderId="107" applyNumberFormat="0" applyProtection="0">
      <alignment horizontal="left" vertical="center" indent="1"/>
    </xf>
    <xf numFmtId="4" fontId="256" fillId="45" borderId="107" applyNumberFormat="0" applyProtection="0">
      <alignment vertical="center"/>
    </xf>
    <xf numFmtId="4" fontId="260" fillId="33" borderId="107" applyNumberFormat="0" applyProtection="0">
      <alignment horizontal="right" vertical="center"/>
    </xf>
    <xf numFmtId="349" fontId="53" fillId="30" borderId="112" applyNumberFormat="0" applyProtection="0">
      <alignment horizontal="left" vertical="top" indent="1"/>
    </xf>
    <xf numFmtId="349" fontId="53" fillId="30" borderId="112" applyNumberFormat="0" applyProtection="0">
      <alignment horizontal="left" vertical="top" indent="1"/>
    </xf>
    <xf numFmtId="169" fontId="12" fillId="0" borderId="0" applyFont="0" applyFill="0" applyBorder="0" applyAlignment="0" applyProtection="0"/>
    <xf numFmtId="4" fontId="53" fillId="64" borderId="107" applyNumberFormat="0" applyProtection="0">
      <alignment horizontal="left" vertical="center" indent="1"/>
    </xf>
    <xf numFmtId="4" fontId="258" fillId="61" borderId="112" applyNumberFormat="0" applyProtection="0">
      <alignment horizontal="left" vertical="center" indent="1"/>
    </xf>
    <xf numFmtId="4" fontId="53" fillId="26" borderId="107" applyNumberFormat="0" applyProtection="0">
      <alignment horizontal="right" vertical="center"/>
    </xf>
    <xf numFmtId="4" fontId="53" fillId="24" borderId="107" applyNumberFormat="0" applyProtection="0">
      <alignment horizontal="right" vertical="center"/>
    </xf>
    <xf numFmtId="349" fontId="254" fillId="127" borderId="107" applyNumberFormat="0" applyAlignment="0" applyProtection="0"/>
    <xf numFmtId="169" fontId="12" fillId="0" borderId="0" applyFont="0" applyFill="0" applyBorder="0" applyAlignment="0" applyProtection="0"/>
    <xf numFmtId="169" fontId="12" fillId="0" borderId="0" applyFont="0" applyFill="0" applyBorder="0" applyAlignment="0" applyProtection="0"/>
    <xf numFmtId="349" fontId="53" fillId="30" borderId="112" applyNumberFormat="0" applyProtection="0">
      <alignment horizontal="left" vertical="top" indent="1"/>
    </xf>
    <xf numFmtId="4" fontId="256" fillId="45" borderId="107" applyNumberFormat="0" applyProtection="0">
      <alignment vertical="center"/>
    </xf>
    <xf numFmtId="4" fontId="53" fillId="20" borderId="107" applyNumberFormat="0" applyProtection="0">
      <alignment horizontal="right" vertical="center"/>
    </xf>
    <xf numFmtId="349" fontId="53" fillId="61" borderId="107" applyNumberFormat="0" applyProtection="0">
      <alignment horizontal="left" vertical="center" indent="1"/>
    </xf>
    <xf numFmtId="4" fontId="53" fillId="28" borderId="107" applyNumberFormat="0" applyProtection="0">
      <alignment horizontal="right" vertical="center"/>
    </xf>
    <xf numFmtId="4" fontId="53" fillId="25" borderId="107" applyNumberFormat="0" applyProtection="0">
      <alignment horizontal="right" vertical="center"/>
    </xf>
    <xf numFmtId="4" fontId="53" fillId="130" borderId="107" applyNumberFormat="0" applyProtection="0">
      <alignment horizontal="right" vertical="center"/>
    </xf>
    <xf numFmtId="4" fontId="53" fillId="27" borderId="107" applyNumberFormat="0" applyProtection="0">
      <alignment horizontal="right" vertical="center"/>
    </xf>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2" borderId="107" applyNumberFormat="0" applyProtection="0">
      <alignment horizontal="left" vertical="center"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184" fillId="127" borderId="111" applyNumberFormat="0" applyAlignment="0" applyProtection="0"/>
    <xf numFmtId="4" fontId="53" fillId="19" borderId="107" applyNumberFormat="0" applyProtection="0">
      <alignment horizontal="right" vertical="center"/>
    </xf>
    <xf numFmtId="169" fontId="7" fillId="0" borderId="0" applyFont="0" applyFill="0" applyBorder="0" applyAlignment="0" applyProtection="0"/>
    <xf numFmtId="4" fontId="53" fillId="23" borderId="107" applyNumberFormat="0" applyProtection="0">
      <alignment horizontal="right" vertical="center"/>
    </xf>
    <xf numFmtId="349" fontId="9" fillId="19" borderId="112" applyNumberFormat="0" applyProtection="0">
      <alignment horizontal="left" vertical="top" indent="1"/>
    </xf>
    <xf numFmtId="349" fontId="142" fillId="14" borderId="107" applyNumberFormat="0" applyAlignment="0" applyProtection="0"/>
    <xf numFmtId="349" fontId="15" fillId="0" borderId="116" applyNumberFormat="0" applyFill="0" applyAlignment="0" applyProtection="0"/>
    <xf numFmtId="349" fontId="9" fillId="30" borderId="112" applyNumberFormat="0" applyProtection="0">
      <alignment horizontal="left" vertical="top" indent="1"/>
    </xf>
    <xf numFmtId="4" fontId="256" fillId="50" borderId="107" applyNumberFormat="0" applyProtection="0">
      <alignment horizontal="right" vertical="center"/>
    </xf>
    <xf numFmtId="4" fontId="53" fillId="45" borderId="107" applyNumberFormat="0" applyProtection="0">
      <alignment horizontal="left" vertical="center" indent="1"/>
    </xf>
    <xf numFmtId="349" fontId="53" fillId="30" borderId="112" applyNumberFormat="0" applyProtection="0">
      <alignment horizontal="left" vertical="top" indent="1"/>
    </xf>
    <xf numFmtId="4" fontId="53" fillId="64" borderId="107" applyNumberFormat="0" applyProtection="0">
      <alignment horizontal="left" vertical="center" indent="1"/>
    </xf>
    <xf numFmtId="349" fontId="53" fillId="13" borderId="107" applyNumberFormat="0" applyFont="0" applyAlignment="0" applyProtection="0"/>
    <xf numFmtId="349" fontId="53" fillId="13" borderId="107" applyNumberFormat="0" applyFont="0" applyAlignment="0" applyProtection="0"/>
    <xf numFmtId="349" fontId="254" fillId="127" borderId="107" applyNumberFormat="0" applyAlignment="0" applyProtection="0"/>
    <xf numFmtId="349" fontId="142" fillId="14" borderId="107" applyNumberFormat="0" applyAlignment="0" applyProtection="0"/>
    <xf numFmtId="349" fontId="53" fillId="13" borderId="107" applyNumberFormat="0" applyFont="0" applyAlignment="0" applyProtection="0"/>
    <xf numFmtId="349" fontId="184" fillId="127" borderId="111" applyNumberFormat="0" applyAlignment="0" applyProtection="0"/>
    <xf numFmtId="4" fontId="258" fillId="34" borderId="112" applyNumberFormat="0" applyProtection="0">
      <alignment vertical="center"/>
    </xf>
    <xf numFmtId="349" fontId="53" fillId="32" borderId="112" applyNumberFormat="0" applyProtection="0">
      <alignment horizontal="left" vertical="top" indent="1"/>
    </xf>
    <xf numFmtId="349" fontId="254" fillId="127" borderId="107" applyNumberFormat="0" applyAlignment="0" applyProtection="0"/>
    <xf numFmtId="349" fontId="53" fillId="13" borderId="107" applyNumberFormat="0" applyFont="0" applyAlignment="0" applyProtection="0"/>
    <xf numFmtId="4" fontId="53" fillId="0" borderId="107" applyNumberFormat="0" applyProtection="0">
      <alignment horizontal="right" vertical="center"/>
    </xf>
    <xf numFmtId="349" fontId="53" fillId="31" borderId="112" applyNumberFormat="0" applyProtection="0">
      <alignment horizontal="left" vertical="top" indent="1"/>
    </xf>
    <xf numFmtId="349" fontId="53" fillId="30" borderId="112" applyNumberFormat="0" applyProtection="0">
      <alignment horizontal="left" vertical="top" indent="1"/>
    </xf>
    <xf numFmtId="4" fontId="259" fillId="35" borderId="113" applyNumberFormat="0" applyProtection="0">
      <alignment horizontal="left" vertical="center" indent="1"/>
    </xf>
    <xf numFmtId="349" fontId="142" fillId="14" borderId="107" applyNumberFormat="0" applyAlignment="0" applyProtection="0"/>
    <xf numFmtId="349" fontId="53" fillId="19" borderId="112" applyNumberFormat="0" applyProtection="0">
      <alignment horizontal="left" vertical="top" indent="1"/>
    </xf>
    <xf numFmtId="349" fontId="53" fillId="30" borderId="112" applyNumberFormat="0" applyProtection="0">
      <alignment horizontal="left" vertical="top" indent="1"/>
    </xf>
    <xf numFmtId="349" fontId="53" fillId="30" borderId="107" applyNumberFormat="0" applyProtection="0">
      <alignment horizontal="left" vertical="center" indent="1"/>
    </xf>
    <xf numFmtId="4" fontId="53" fillId="20" borderId="107" applyNumberFormat="0" applyProtection="0">
      <alignment horizontal="right" vertical="center"/>
    </xf>
    <xf numFmtId="4" fontId="53" fillId="0" borderId="107" applyNumberFormat="0" applyProtection="0">
      <alignment horizontal="right" vertical="center"/>
    </xf>
    <xf numFmtId="214" fontId="64" fillId="0" borderId="28" applyFill="0"/>
    <xf numFmtId="349" fontId="53" fillId="13" borderId="107" applyNumberFormat="0" applyFont="0" applyAlignment="0" applyProtection="0"/>
    <xf numFmtId="4" fontId="53" fillId="64" borderId="107" applyNumberFormat="0" applyProtection="0">
      <alignment horizontal="left" vertical="center" indent="1"/>
    </xf>
    <xf numFmtId="349" fontId="53" fillId="13" borderId="107" applyNumberFormat="0" applyFont="0" applyAlignment="0" applyProtection="0"/>
    <xf numFmtId="349" fontId="53" fillId="13" borderId="107" applyNumberFormat="0" applyFont="0" applyAlignment="0" applyProtection="0"/>
    <xf numFmtId="349" fontId="53" fillId="31"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3" borderId="107" applyNumberFormat="0" applyFont="0" applyAlignment="0" applyProtection="0"/>
    <xf numFmtId="4" fontId="53" fillId="24" borderId="107" applyNumberFormat="0" applyProtection="0">
      <alignment horizontal="right" vertical="center"/>
    </xf>
    <xf numFmtId="349" fontId="53" fillId="32" borderId="112" applyNumberFormat="0" applyProtection="0">
      <alignment horizontal="left" vertical="top" indent="1"/>
    </xf>
    <xf numFmtId="4" fontId="53" fillId="64" borderId="107" applyNumberFormat="0" applyProtection="0">
      <alignment horizontal="left" vertical="center" indent="1"/>
    </xf>
    <xf numFmtId="349" fontId="53" fillId="31" borderId="112" applyNumberFormat="0" applyProtection="0">
      <alignment horizontal="left" vertical="top" indent="1"/>
    </xf>
    <xf numFmtId="349" fontId="254" fillId="127" borderId="107" applyNumberFormat="0" applyAlignment="0" applyProtection="0"/>
    <xf numFmtId="4" fontId="258" fillId="61" borderId="112" applyNumberFormat="0" applyProtection="0">
      <alignment horizontal="left" vertical="center" indent="1"/>
    </xf>
    <xf numFmtId="349" fontId="15" fillId="0" borderId="116" applyNumberFormat="0" applyFill="0" applyAlignment="0" applyProtection="0"/>
    <xf numFmtId="349" fontId="53" fillId="13" borderId="107" applyNumberFormat="0" applyFont="0" applyAlignment="0" applyProtection="0"/>
    <xf numFmtId="349" fontId="53" fillId="31" borderId="112" applyNumberFormat="0" applyProtection="0">
      <alignment horizontal="left" vertical="top" indent="1"/>
    </xf>
    <xf numFmtId="4" fontId="53" fillId="64" borderId="107" applyNumberFormat="0" applyProtection="0">
      <alignment horizontal="left" vertical="center" indent="1"/>
    </xf>
    <xf numFmtId="349" fontId="254" fillId="127" borderId="107" applyNumberFormat="0" applyAlignment="0" applyProtection="0"/>
    <xf numFmtId="4" fontId="260" fillId="33" borderId="107" applyNumberFormat="0" applyProtection="0">
      <alignment horizontal="right" vertical="center"/>
    </xf>
    <xf numFmtId="349" fontId="93" fillId="31" borderId="114" applyBorder="0"/>
    <xf numFmtId="349" fontId="53" fillId="13" borderId="107" applyNumberFormat="0" applyFont="0" applyAlignment="0" applyProtection="0"/>
    <xf numFmtId="4" fontId="53" fillId="64" borderId="107" applyNumberFormat="0" applyProtection="0">
      <alignment horizontal="left" vertical="center"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3" borderId="107" applyNumberFormat="0" applyFont="0" applyAlignment="0" applyProtection="0"/>
    <xf numFmtId="349" fontId="184" fillId="127" borderId="111" applyNumberFormat="0" applyAlignment="0" applyProtection="0"/>
    <xf numFmtId="4" fontId="53" fillId="20" borderId="107" applyNumberFormat="0" applyProtection="0">
      <alignment horizontal="right" vertical="center"/>
    </xf>
    <xf numFmtId="349" fontId="53" fillId="31" borderId="112" applyNumberFormat="0" applyProtection="0">
      <alignment horizontal="left" vertical="top" indent="1"/>
    </xf>
    <xf numFmtId="349" fontId="93" fillId="31" borderId="114" applyBorder="0"/>
    <xf numFmtId="4" fontId="53" fillId="28" borderId="107" applyNumberFormat="0" applyProtection="0">
      <alignment horizontal="right" vertical="center"/>
    </xf>
    <xf numFmtId="349" fontId="53" fillId="31" borderId="112" applyNumberFormat="0" applyProtection="0">
      <alignment horizontal="left" vertical="top" indent="1"/>
    </xf>
    <xf numFmtId="349" fontId="53" fillId="30" borderId="112" applyNumberFormat="0" applyProtection="0">
      <alignment horizontal="left" vertical="top" indent="1"/>
    </xf>
    <xf numFmtId="4" fontId="53" fillId="26" borderId="107" applyNumberFormat="0" applyProtection="0">
      <alignment horizontal="right" vertical="center"/>
    </xf>
    <xf numFmtId="349" fontId="53" fillId="32" borderId="112" applyNumberFormat="0" applyProtection="0">
      <alignment horizontal="left" vertical="top" indent="1"/>
    </xf>
    <xf numFmtId="349" fontId="9" fillId="32" borderId="112" applyNumberFormat="0" applyProtection="0">
      <alignment horizontal="left" vertical="center" indent="1"/>
    </xf>
    <xf numFmtId="4" fontId="53" fillId="0" borderId="107" applyNumberFormat="0" applyProtection="0">
      <alignment horizontal="right" vertical="center"/>
    </xf>
    <xf numFmtId="349" fontId="53" fillId="19" borderId="112" applyNumberFormat="0" applyProtection="0">
      <alignment horizontal="left" vertical="top" indent="1"/>
    </xf>
    <xf numFmtId="349" fontId="254" fillId="127" borderId="107" applyNumberFormat="0" applyAlignment="0" applyProtection="0"/>
    <xf numFmtId="349" fontId="142" fillId="14" borderId="107" applyNumberFormat="0" applyAlignment="0" applyProtection="0"/>
    <xf numFmtId="4" fontId="53" fillId="45" borderId="107" applyNumberFormat="0" applyProtection="0">
      <alignment horizontal="left" vertical="center" indent="1"/>
    </xf>
    <xf numFmtId="4" fontId="258" fillId="61" borderId="112" applyNumberFormat="0" applyProtection="0">
      <alignment horizontal="left" vertical="center" indent="1"/>
    </xf>
    <xf numFmtId="4" fontId="53" fillId="28" borderId="107" applyNumberFormat="0" applyProtection="0">
      <alignment horizontal="right" vertical="center"/>
    </xf>
    <xf numFmtId="4" fontId="256" fillId="50" borderId="107" applyNumberFormat="0" applyProtection="0">
      <alignment horizontal="right" vertical="center"/>
    </xf>
    <xf numFmtId="349" fontId="53" fillId="13" borderId="107" applyNumberFormat="0" applyFont="0" applyAlignment="0" applyProtection="0"/>
    <xf numFmtId="349" fontId="142" fillId="14" borderId="107" applyNumberFormat="0" applyAlignment="0" applyProtection="0"/>
    <xf numFmtId="349" fontId="53" fillId="13" borderId="107" applyNumberFormat="0" applyFont="0" applyAlignment="0" applyProtection="0"/>
    <xf numFmtId="4" fontId="260" fillId="33" borderId="107" applyNumberFormat="0" applyProtection="0">
      <alignment horizontal="right" vertical="center"/>
    </xf>
    <xf numFmtId="349" fontId="254" fillId="127"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4" fontId="53" fillId="0" borderId="107" applyNumberFormat="0" applyProtection="0">
      <alignment horizontal="right" vertical="center"/>
    </xf>
    <xf numFmtId="169" fontId="12" fillId="0" borderId="0" applyFont="0" applyFill="0" applyBorder="0" applyAlignment="0" applyProtection="0"/>
    <xf numFmtId="349" fontId="53" fillId="13" borderId="107" applyNumberFormat="0" applyFont="0" applyAlignment="0" applyProtection="0"/>
    <xf numFmtId="349" fontId="254" fillId="127" borderId="107" applyNumberFormat="0" applyAlignment="0" applyProtection="0"/>
    <xf numFmtId="349" fontId="258" fillId="34" borderId="112" applyNumberFormat="0" applyProtection="0">
      <alignment horizontal="left" vertical="top" indent="1"/>
    </xf>
    <xf numFmtId="349" fontId="9" fillId="30" borderId="112" applyNumberFormat="0" applyProtection="0">
      <alignment horizontal="left" vertical="center" indent="1"/>
    </xf>
    <xf numFmtId="4" fontId="260" fillId="33" borderId="107" applyNumberFormat="0" applyProtection="0">
      <alignment horizontal="right" vertical="center"/>
    </xf>
    <xf numFmtId="349" fontId="53" fillId="30" borderId="107" applyNumberFormat="0" applyProtection="0">
      <alignment horizontal="left" vertical="center" indent="1"/>
    </xf>
    <xf numFmtId="349" fontId="53" fillId="83" borderId="107" applyNumberFormat="0" applyProtection="0">
      <alignment horizontal="left" vertical="center" indent="1"/>
    </xf>
    <xf numFmtId="4" fontId="53" fillId="20" borderId="107" applyNumberFormat="0" applyProtection="0">
      <alignment horizontal="right" vertical="center"/>
    </xf>
    <xf numFmtId="349" fontId="53" fillId="19" borderId="112" applyNumberFormat="0" applyProtection="0">
      <alignment horizontal="left" vertical="top" indent="1"/>
    </xf>
    <xf numFmtId="349" fontId="53" fillId="83" borderId="107" applyNumberFormat="0" applyProtection="0">
      <alignment horizontal="left" vertical="center" indent="1"/>
    </xf>
    <xf numFmtId="349" fontId="53" fillId="13" borderId="107" applyNumberFormat="0" applyFont="0" applyAlignment="0" applyProtection="0"/>
    <xf numFmtId="349" fontId="53" fillId="31" borderId="112" applyNumberFormat="0" applyProtection="0">
      <alignment horizontal="left" vertical="top" indent="1"/>
    </xf>
    <xf numFmtId="349" fontId="53" fillId="30" borderId="112" applyNumberFormat="0" applyProtection="0">
      <alignment horizontal="left" vertical="top" indent="1"/>
    </xf>
    <xf numFmtId="349" fontId="53" fillId="13" borderId="107" applyNumberFormat="0" applyFont="0" applyAlignment="0" applyProtection="0"/>
    <xf numFmtId="4" fontId="53" fillId="23" borderId="107" applyNumberFormat="0" applyProtection="0">
      <alignment horizontal="right" vertical="center"/>
    </xf>
    <xf numFmtId="349" fontId="53" fillId="32" borderId="107" applyNumberFormat="0" applyProtection="0">
      <alignment horizontal="left" vertical="center" indent="1"/>
    </xf>
    <xf numFmtId="349" fontId="53" fillId="30" borderId="112" applyNumberFormat="0" applyProtection="0">
      <alignment horizontal="left" vertical="top" indent="1"/>
    </xf>
    <xf numFmtId="4" fontId="53" fillId="19" borderId="107" applyNumberFormat="0" applyProtection="0">
      <alignment horizontal="right" vertical="center"/>
    </xf>
    <xf numFmtId="349" fontId="258" fillId="34" borderId="112" applyNumberFormat="0" applyProtection="0">
      <alignment horizontal="left" vertical="top" indent="1"/>
    </xf>
    <xf numFmtId="349" fontId="15" fillId="0" borderId="116" applyNumberFormat="0" applyFill="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31" borderId="112" applyNumberFormat="0" applyProtection="0">
      <alignment horizontal="left" vertical="top" indent="1"/>
    </xf>
    <xf numFmtId="349" fontId="53" fillId="30" borderId="112" applyNumberFormat="0" applyProtection="0">
      <alignment horizontal="left" vertical="top" indent="1"/>
    </xf>
    <xf numFmtId="37" fontId="64" fillId="0" borderId="115" applyNumberFormat="0"/>
    <xf numFmtId="349" fontId="53" fillId="19" borderId="112" applyNumberFormat="0" applyProtection="0">
      <alignment horizontal="left" vertical="top" indent="1"/>
    </xf>
    <xf numFmtId="349" fontId="53" fillId="13" borderId="107" applyNumberFormat="0" applyFont="0" applyAlignment="0" applyProtection="0"/>
    <xf numFmtId="349" fontId="53" fillId="30" borderId="112" applyNumberFormat="0" applyProtection="0">
      <alignment horizontal="left" vertical="top" indent="1"/>
    </xf>
    <xf numFmtId="349" fontId="254" fillId="127" borderId="107" applyNumberFormat="0" applyAlignment="0" applyProtection="0"/>
    <xf numFmtId="349" fontId="53" fillId="31" borderId="112" applyNumberFormat="0" applyProtection="0">
      <alignment horizontal="left" vertical="top" indent="1"/>
    </xf>
    <xf numFmtId="349" fontId="53" fillId="32" borderId="112" applyNumberFormat="0" applyProtection="0">
      <alignment horizontal="left" vertical="top" indent="1"/>
    </xf>
    <xf numFmtId="4" fontId="258" fillId="34" borderId="112" applyNumberFormat="0" applyProtection="0">
      <alignment vertical="center"/>
    </xf>
    <xf numFmtId="37" fontId="64" fillId="0" borderId="115" applyNumberFormat="0"/>
    <xf numFmtId="349" fontId="53" fillId="13" borderId="107" applyNumberFormat="0" applyFont="0" applyAlignment="0" applyProtection="0"/>
    <xf numFmtId="349" fontId="53" fillId="31" borderId="112" applyNumberFormat="0" applyProtection="0">
      <alignment horizontal="left" vertical="top" indent="1"/>
    </xf>
    <xf numFmtId="4" fontId="53" fillId="20" borderId="107" applyNumberFormat="0" applyProtection="0">
      <alignment horizontal="right" vertical="center"/>
    </xf>
    <xf numFmtId="349" fontId="142" fillId="14" borderId="107" applyNumberFormat="0" applyAlignment="0" applyProtection="0"/>
    <xf numFmtId="4" fontId="256" fillId="50" borderId="107" applyNumberFormat="0" applyProtection="0">
      <alignment horizontal="right" vertical="center"/>
    </xf>
    <xf numFmtId="349" fontId="53" fillId="31" borderId="112" applyNumberFormat="0" applyProtection="0">
      <alignment horizontal="left" vertical="top" indent="1"/>
    </xf>
    <xf numFmtId="4" fontId="259" fillId="35" borderId="113" applyNumberFormat="0" applyProtection="0">
      <alignment horizontal="left" vertical="center"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4" fontId="53" fillId="30" borderId="113" applyNumberFormat="0" applyProtection="0">
      <alignment horizontal="left" vertical="center" indent="1"/>
    </xf>
    <xf numFmtId="349" fontId="258" fillId="34" borderId="112" applyNumberFormat="0" applyProtection="0">
      <alignment horizontal="left" vertical="top" indent="1"/>
    </xf>
    <xf numFmtId="349" fontId="53" fillId="31" borderId="112" applyNumberFormat="0" applyProtection="0">
      <alignment horizontal="left" vertical="top" indent="1"/>
    </xf>
    <xf numFmtId="4" fontId="53" fillId="18" borderId="107" applyNumberFormat="0" applyProtection="0">
      <alignment vertical="center"/>
    </xf>
    <xf numFmtId="4" fontId="53" fillId="64" borderId="107" applyNumberFormat="0" applyProtection="0">
      <alignment horizontal="left" vertical="center" indent="1"/>
    </xf>
    <xf numFmtId="4" fontId="9" fillId="31" borderId="113" applyNumberFormat="0" applyProtection="0">
      <alignment horizontal="left" vertical="center" indent="1"/>
    </xf>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30" borderId="112" applyNumberFormat="0" applyProtection="0">
      <alignment horizontal="left" vertical="top" indent="1"/>
    </xf>
    <xf numFmtId="4" fontId="258" fillId="61" borderId="112" applyNumberFormat="0" applyProtection="0">
      <alignment horizontal="left" vertical="center" indent="1"/>
    </xf>
    <xf numFmtId="4" fontId="256" fillId="50" borderId="107" applyNumberFormat="0" applyProtection="0">
      <alignment horizontal="right" vertical="center"/>
    </xf>
    <xf numFmtId="349" fontId="53" fillId="13" borderId="107" applyNumberFormat="0" applyFont="0" applyAlignment="0" applyProtection="0"/>
    <xf numFmtId="349" fontId="53" fillId="30" borderId="112" applyNumberFormat="0" applyProtection="0">
      <alignment horizontal="left" vertical="top" indent="1"/>
    </xf>
    <xf numFmtId="349" fontId="53" fillId="19" borderId="112" applyNumberFormat="0" applyProtection="0">
      <alignment horizontal="left" vertical="top"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349" fontId="53" fillId="30" borderId="107" applyNumberFormat="0" applyProtection="0">
      <alignment horizontal="left" vertical="center" indent="1"/>
    </xf>
    <xf numFmtId="349" fontId="254" fillId="127" borderId="107" applyNumberFormat="0" applyAlignment="0" applyProtection="0"/>
    <xf numFmtId="349" fontId="254" fillId="127" borderId="107" applyNumberFormat="0" applyAlignment="0" applyProtection="0"/>
    <xf numFmtId="214" fontId="64" fillId="0" borderId="28" applyFill="0"/>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4" fontId="260" fillId="33" borderId="107" applyNumberFormat="0" applyProtection="0">
      <alignment horizontal="right" vertical="center"/>
    </xf>
    <xf numFmtId="349" fontId="53" fillId="32"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9" fillId="32" borderId="112" applyNumberFormat="0" applyProtection="0">
      <alignment horizontal="left" vertical="top" indent="1"/>
    </xf>
    <xf numFmtId="349" fontId="53" fillId="32" borderId="107" applyNumberFormat="0" applyProtection="0">
      <alignment horizontal="left" vertical="center" indent="1"/>
    </xf>
    <xf numFmtId="349" fontId="53" fillId="31" borderId="112" applyNumberFormat="0" applyProtection="0">
      <alignment horizontal="left" vertical="top" indent="1"/>
    </xf>
    <xf numFmtId="349" fontId="53" fillId="13" borderId="107" applyNumberFormat="0" applyFont="0" applyAlignment="0" applyProtection="0"/>
    <xf numFmtId="349" fontId="53" fillId="30" borderId="112" applyNumberFormat="0" applyProtection="0">
      <alignment horizontal="left" vertical="top" indent="1"/>
    </xf>
    <xf numFmtId="349" fontId="53" fillId="19" borderId="112" applyNumberFormat="0" applyProtection="0">
      <alignment horizontal="left" vertical="top" indent="1"/>
    </xf>
    <xf numFmtId="349" fontId="254" fillId="127" borderId="107" applyNumberFormat="0" applyAlignment="0" applyProtection="0"/>
    <xf numFmtId="349" fontId="15" fillId="0" borderId="116" applyNumberFormat="0" applyFill="0" applyAlignment="0" applyProtection="0"/>
    <xf numFmtId="349" fontId="15" fillId="0" borderId="116" applyNumberFormat="0" applyFill="0" applyAlignment="0" applyProtection="0"/>
    <xf numFmtId="37" fontId="64" fillId="0" borderId="115" applyNumberFormat="0"/>
    <xf numFmtId="4" fontId="260" fillId="33" borderId="107" applyNumberFormat="0" applyProtection="0">
      <alignment horizontal="right" vertical="center"/>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142" fillId="14" borderId="107" applyNumberFormat="0" applyAlignment="0" applyProtection="0"/>
    <xf numFmtId="349" fontId="254" fillId="127" borderId="107" applyNumberFormat="0" applyAlignment="0" applyProtection="0"/>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9" fillId="19" borderId="112" applyNumberFormat="0" applyProtection="0">
      <alignment horizontal="left" vertical="top" indent="1"/>
    </xf>
    <xf numFmtId="349" fontId="53" fillId="31" borderId="112" applyNumberFormat="0" applyProtection="0">
      <alignment horizontal="left" vertical="top" indent="1"/>
    </xf>
    <xf numFmtId="349" fontId="93" fillId="31" borderId="114" applyBorder="0"/>
    <xf numFmtId="349" fontId="53" fillId="13" borderId="107" applyNumberFormat="0" applyFont="0" applyAlignment="0" applyProtection="0"/>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9" fillId="30" borderId="112" applyNumberFormat="0" applyProtection="0">
      <alignment horizontal="left" vertical="top" indent="1"/>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37" fontId="64" fillId="0" borderId="115" applyNumberFormat="0"/>
    <xf numFmtId="349" fontId="15" fillId="0" borderId="116" applyNumberFormat="0" applyFill="0" applyAlignment="0" applyProtection="0"/>
    <xf numFmtId="349" fontId="53" fillId="32" borderId="112" applyNumberFormat="0" applyProtection="0">
      <alignment horizontal="left" vertical="top" indent="1"/>
    </xf>
    <xf numFmtId="349" fontId="53" fillId="19" borderId="112" applyNumberFormat="0" applyProtection="0">
      <alignment horizontal="left" vertical="top" indent="1"/>
    </xf>
    <xf numFmtId="4" fontId="53" fillId="23" borderId="107" applyNumberFormat="0" applyProtection="0">
      <alignment horizontal="right" vertical="center"/>
    </xf>
    <xf numFmtId="349" fontId="53" fillId="83" borderId="107" applyNumberFormat="0" applyProtection="0">
      <alignment horizontal="left" vertical="center"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4" fontId="53" fillId="64" borderId="107" applyNumberFormat="0" applyProtection="0">
      <alignment horizontal="left" vertical="center" indent="1"/>
    </xf>
    <xf numFmtId="349" fontId="53" fillId="30" borderId="107" applyNumberFormat="0" applyProtection="0">
      <alignment horizontal="left" vertical="center" indent="1"/>
    </xf>
    <xf numFmtId="214" fontId="64" fillId="0" borderId="28" applyFill="0"/>
    <xf numFmtId="4" fontId="258" fillId="34" borderId="112" applyNumberFormat="0" applyProtection="0">
      <alignment vertical="center"/>
    </xf>
    <xf numFmtId="349" fontId="15" fillId="0" borderId="116" applyNumberFormat="0" applyFill="0" applyAlignment="0" applyProtection="0"/>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18" borderId="107" applyNumberFormat="0" applyProtection="0">
      <alignment vertical="center"/>
    </xf>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9" fillId="30" borderId="112" applyNumberFormat="0" applyProtection="0">
      <alignment horizontal="left" vertical="center" indent="1"/>
    </xf>
    <xf numFmtId="349" fontId="254" fillId="127" borderId="107" applyNumberFormat="0" applyAlignment="0" applyProtection="0"/>
    <xf numFmtId="349" fontId="53" fillId="30" borderId="107" applyNumberFormat="0" applyProtection="0">
      <alignment horizontal="left" vertical="center" indent="1"/>
    </xf>
    <xf numFmtId="349" fontId="53" fillId="32" borderId="112" applyNumberFormat="0" applyProtection="0">
      <alignment horizontal="left" vertical="top" indent="1"/>
    </xf>
    <xf numFmtId="37" fontId="64" fillId="0" borderId="115" applyNumberFormat="0"/>
    <xf numFmtId="349" fontId="53" fillId="13" borderId="107" applyNumberFormat="0" applyFont="0" applyAlignment="0" applyProtection="0"/>
    <xf numFmtId="4" fontId="259" fillId="35" borderId="113" applyNumberFormat="0" applyProtection="0">
      <alignment horizontal="left" vertical="center" indent="1"/>
    </xf>
    <xf numFmtId="169" fontId="12" fillId="0" borderId="0" applyFont="0" applyFill="0" applyBorder="0" applyAlignment="0" applyProtection="0"/>
    <xf numFmtId="349" fontId="53" fillId="13" borderId="107" applyNumberFormat="0" applyFont="0" applyAlignment="0" applyProtection="0"/>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4" fontId="258" fillId="34" borderId="112" applyNumberFormat="0" applyProtection="0">
      <alignment vertical="center"/>
    </xf>
    <xf numFmtId="4" fontId="260" fillId="33" borderId="107" applyNumberFormat="0" applyProtection="0">
      <alignment horizontal="right" vertical="center"/>
    </xf>
    <xf numFmtId="349" fontId="15" fillId="0" borderId="116" applyNumberFormat="0" applyFill="0" applyAlignment="0" applyProtection="0"/>
    <xf numFmtId="349" fontId="9" fillId="30" borderId="112" applyNumberFormat="0" applyProtection="0">
      <alignment horizontal="left" vertical="top" indent="1"/>
    </xf>
    <xf numFmtId="4" fontId="53" fillId="26" borderId="107" applyNumberFormat="0" applyProtection="0">
      <alignment horizontal="right" vertical="center"/>
    </xf>
    <xf numFmtId="4" fontId="260" fillId="33" borderId="107" applyNumberFormat="0" applyProtection="0">
      <alignment horizontal="right" vertical="center"/>
    </xf>
    <xf numFmtId="349" fontId="15" fillId="0" borderId="116" applyNumberFormat="0" applyFill="0" applyAlignment="0" applyProtection="0"/>
    <xf numFmtId="349" fontId="9" fillId="30" borderId="112" applyNumberFormat="0" applyProtection="0">
      <alignment horizontal="left" vertical="center" indent="1"/>
    </xf>
    <xf numFmtId="349" fontId="53" fillId="19" borderId="112" applyNumberFormat="0" applyProtection="0">
      <alignment horizontal="left" vertical="top" indent="1"/>
    </xf>
    <xf numFmtId="349" fontId="254" fillId="127" borderId="107" applyNumberFormat="0" applyAlignment="0" applyProtection="0"/>
    <xf numFmtId="4" fontId="53" fillId="24" borderId="107" applyNumberFormat="0" applyProtection="0">
      <alignment horizontal="right" vertical="center"/>
    </xf>
    <xf numFmtId="214" fontId="64" fillId="0" borderId="28" applyFill="0"/>
    <xf numFmtId="349" fontId="53" fillId="13" borderId="107" applyNumberFormat="0" applyFont="0" applyAlignment="0" applyProtection="0"/>
    <xf numFmtId="349" fontId="258" fillId="34" borderId="112" applyNumberFormat="0" applyProtection="0">
      <alignment horizontal="left" vertical="top" indent="1"/>
    </xf>
    <xf numFmtId="4" fontId="258" fillId="34" borderId="112" applyNumberFormat="0" applyProtection="0">
      <alignment vertical="center"/>
    </xf>
    <xf numFmtId="349" fontId="53" fillId="13" borderId="107" applyNumberFormat="0" applyFont="0" applyAlignment="0" applyProtection="0"/>
    <xf numFmtId="349" fontId="53" fillId="13" borderId="107" applyNumberFormat="0" applyFont="0" applyAlignment="0" applyProtection="0"/>
    <xf numFmtId="349" fontId="257" fillId="18" borderId="112" applyNumberFormat="0" applyProtection="0">
      <alignment horizontal="left" vertical="top" indent="1"/>
    </xf>
    <xf numFmtId="4" fontId="53" fillId="25" borderId="107" applyNumberFormat="0" applyProtection="0">
      <alignment horizontal="right" vertical="center"/>
    </xf>
    <xf numFmtId="4" fontId="53" fillId="19" borderId="107" applyNumberFormat="0" applyProtection="0">
      <alignment horizontal="right" vertical="center"/>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9" fillId="32" borderId="112" applyNumberFormat="0" applyProtection="0">
      <alignment horizontal="left" vertical="center" indent="1"/>
    </xf>
    <xf numFmtId="349" fontId="142" fillId="14" borderId="107" applyNumberFormat="0" applyAlignment="0" applyProtection="0"/>
    <xf numFmtId="37" fontId="64" fillId="0" borderId="115" applyNumberFormat="0"/>
    <xf numFmtId="349" fontId="53" fillId="30" borderId="107" applyNumberFormat="0" applyProtection="0">
      <alignment horizontal="left" vertical="center"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9" fillId="19" borderId="112" applyNumberFormat="0" applyProtection="0">
      <alignment horizontal="left" vertical="top" indent="1"/>
    </xf>
    <xf numFmtId="349" fontId="53" fillId="31" borderId="112" applyNumberFormat="0" applyProtection="0">
      <alignment horizontal="left" vertical="top" indent="1"/>
    </xf>
    <xf numFmtId="4" fontId="53" fillId="29" borderId="113" applyNumberFormat="0" applyProtection="0">
      <alignment horizontal="left" vertical="center" indent="1"/>
    </xf>
    <xf numFmtId="349" fontId="142" fillId="14" borderId="107" applyNumberFormat="0" applyAlignment="0" applyProtection="0"/>
    <xf numFmtId="4" fontId="256" fillId="50" borderId="107" applyNumberFormat="0" applyProtection="0">
      <alignment horizontal="right" vertical="center"/>
    </xf>
    <xf numFmtId="4" fontId="258" fillId="34" borderId="112" applyNumberFormat="0" applyProtection="0">
      <alignment vertical="center"/>
    </xf>
    <xf numFmtId="349" fontId="53" fillId="30" borderId="112" applyNumberFormat="0" applyProtection="0">
      <alignment horizontal="left" vertical="top" indent="1"/>
    </xf>
    <xf numFmtId="4" fontId="258" fillId="61" borderId="112" applyNumberFormat="0" applyProtection="0">
      <alignment horizontal="left" vertical="center" indent="1"/>
    </xf>
    <xf numFmtId="349" fontId="9" fillId="30" borderId="112" applyNumberFormat="0" applyProtection="0">
      <alignment horizontal="left" vertical="center" indent="1"/>
    </xf>
    <xf numFmtId="4" fontId="53" fillId="64" borderId="107" applyNumberFormat="0" applyProtection="0">
      <alignment horizontal="left" vertical="center" indent="1"/>
    </xf>
    <xf numFmtId="349" fontId="53" fillId="32" borderId="107" applyNumberFormat="0" applyProtection="0">
      <alignment horizontal="left" vertical="center"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4" fontId="53" fillId="27" borderId="107" applyNumberFormat="0" applyProtection="0">
      <alignment horizontal="right" vertical="center"/>
    </xf>
    <xf numFmtId="4" fontId="53" fillId="30" borderId="113" applyNumberFormat="0" applyProtection="0">
      <alignment horizontal="left" vertical="center" indent="1"/>
    </xf>
    <xf numFmtId="4" fontId="53" fillId="64" borderId="107" applyNumberFormat="0" applyProtection="0">
      <alignment horizontal="left" vertical="center" indent="1"/>
    </xf>
    <xf numFmtId="4" fontId="53" fillId="27" borderId="107" applyNumberFormat="0" applyProtection="0">
      <alignment horizontal="right" vertical="center"/>
    </xf>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53" fillId="13" borderId="107" applyNumberFormat="0" applyFont="0" applyAlignment="0" applyProtection="0"/>
    <xf numFmtId="4" fontId="256" fillId="45" borderId="107" applyNumberFormat="0" applyProtection="0">
      <alignment vertical="center"/>
    </xf>
    <xf numFmtId="4" fontId="53" fillId="25" borderId="107" applyNumberFormat="0" applyProtection="0">
      <alignment horizontal="right" vertical="center"/>
    </xf>
    <xf numFmtId="4" fontId="53" fillId="19" borderId="113" applyNumberFormat="0" applyProtection="0">
      <alignment horizontal="left" vertical="center"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169" fontId="12" fillId="0" borderId="0" applyFont="0" applyFill="0" applyBorder="0" applyAlignment="0" applyProtection="0"/>
    <xf numFmtId="4" fontId="53" fillId="23" borderId="107" applyNumberFormat="0" applyProtection="0">
      <alignment horizontal="right" vertical="center"/>
    </xf>
    <xf numFmtId="169" fontId="12" fillId="0" borderId="0" applyFont="0" applyFill="0" applyBorder="0" applyAlignment="0" applyProtection="0"/>
    <xf numFmtId="349" fontId="53" fillId="13" borderId="107" applyNumberFormat="0" applyFont="0" applyAlignment="0" applyProtection="0"/>
    <xf numFmtId="4" fontId="53" fillId="18" borderId="107" applyNumberFormat="0" applyProtection="0">
      <alignment vertical="center"/>
    </xf>
    <xf numFmtId="4" fontId="256" fillId="45" borderId="107" applyNumberFormat="0" applyProtection="0">
      <alignment vertical="center"/>
    </xf>
    <xf numFmtId="4" fontId="53" fillId="25" borderId="107" applyNumberFormat="0" applyProtection="0">
      <alignment horizontal="right" vertical="center"/>
    </xf>
    <xf numFmtId="4" fontId="53" fillId="29" borderId="113" applyNumberFormat="0" applyProtection="0">
      <alignment horizontal="left" vertical="center" indent="1"/>
    </xf>
    <xf numFmtId="4" fontId="53" fillId="130" borderId="107" applyNumberFormat="0" applyProtection="0">
      <alignment horizontal="right" vertical="center"/>
    </xf>
    <xf numFmtId="4" fontId="53" fillId="19" borderId="107" applyNumberFormat="0" applyProtection="0">
      <alignment horizontal="right" vertical="center"/>
    </xf>
    <xf numFmtId="349" fontId="53" fillId="61" borderId="107" applyNumberFormat="0" applyProtection="0">
      <alignment horizontal="left" vertical="center" indent="1"/>
    </xf>
    <xf numFmtId="214" fontId="64" fillId="0" borderId="28" applyFill="0"/>
    <xf numFmtId="349" fontId="53" fillId="32" borderId="112" applyNumberFormat="0" applyProtection="0">
      <alignment horizontal="left" vertical="top" indent="1"/>
    </xf>
    <xf numFmtId="4" fontId="53" fillId="19" borderId="107" applyNumberFormat="0" applyProtection="0">
      <alignment horizontal="right" vertical="center"/>
    </xf>
    <xf numFmtId="349" fontId="184" fillId="127" borderId="111" applyNumberFormat="0" applyAlignment="0" applyProtection="0"/>
    <xf numFmtId="349" fontId="53" fillId="13" borderId="107" applyNumberFormat="0" applyFont="0" applyAlignment="0" applyProtection="0"/>
    <xf numFmtId="349" fontId="184" fillId="127" borderId="111" applyNumberFormat="0" applyAlignment="0" applyProtection="0"/>
    <xf numFmtId="349" fontId="53" fillId="61" borderId="107" applyNumberFormat="0" applyProtection="0">
      <alignment horizontal="left" vertical="center"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4" fontId="53" fillId="27" borderId="107" applyNumberFormat="0" applyProtection="0">
      <alignment horizontal="right" vertical="center"/>
    </xf>
    <xf numFmtId="349" fontId="257" fillId="18" borderId="112" applyNumberFormat="0" applyProtection="0">
      <alignment horizontal="left" vertical="top" indent="1"/>
    </xf>
    <xf numFmtId="349" fontId="53" fillId="13" borderId="107" applyNumberFormat="0" applyFont="0" applyAlignment="0" applyProtection="0"/>
    <xf numFmtId="349" fontId="142" fillId="14"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4" fontId="53" fillId="130" borderId="107" applyNumberFormat="0" applyProtection="0">
      <alignment horizontal="right" vertical="center"/>
    </xf>
    <xf numFmtId="4" fontId="53" fillId="45" borderId="107" applyNumberFormat="0" applyProtection="0">
      <alignment horizontal="left" vertical="center" indent="1"/>
    </xf>
    <xf numFmtId="4" fontId="9" fillId="31" borderId="113" applyNumberFormat="0" applyProtection="0">
      <alignment horizontal="left" vertical="center" indent="1"/>
    </xf>
    <xf numFmtId="4" fontId="53" fillId="25" borderId="107" applyNumberFormat="0" applyProtection="0">
      <alignment horizontal="right" vertical="center"/>
    </xf>
    <xf numFmtId="4" fontId="53" fillId="23" borderId="107" applyNumberFormat="0" applyProtection="0">
      <alignment horizontal="right" vertical="center"/>
    </xf>
    <xf numFmtId="349" fontId="53" fillId="31" borderId="112" applyNumberFormat="0" applyProtection="0">
      <alignment horizontal="left" vertical="top" indent="1"/>
    </xf>
    <xf numFmtId="349" fontId="254" fillId="127" borderId="107" applyNumberFormat="0" applyAlignment="0" applyProtection="0"/>
    <xf numFmtId="349" fontId="53" fillId="19" borderId="112" applyNumberFormat="0" applyProtection="0">
      <alignment horizontal="left" vertical="top"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4" fontId="53" fillId="0" borderId="107" applyNumberFormat="0" applyProtection="0">
      <alignment horizontal="right" vertical="center"/>
    </xf>
    <xf numFmtId="349" fontId="15" fillId="0" borderId="116" applyNumberFormat="0" applyFill="0" applyAlignment="0" applyProtection="0"/>
    <xf numFmtId="349" fontId="93" fillId="31" borderId="114" applyBorder="0"/>
    <xf numFmtId="349" fontId="53" fillId="30" borderId="112" applyNumberFormat="0" applyProtection="0">
      <alignment horizontal="left" vertical="top" indent="1"/>
    </xf>
    <xf numFmtId="349" fontId="53" fillId="30" borderId="112" applyNumberFormat="0" applyProtection="0">
      <alignment horizontal="left" vertical="top" indent="1"/>
    </xf>
    <xf numFmtId="214" fontId="64" fillId="0" borderId="28" applyFill="0"/>
    <xf numFmtId="349" fontId="53" fillId="30" borderId="112" applyNumberFormat="0" applyProtection="0">
      <alignment horizontal="left" vertical="top" indent="1"/>
    </xf>
    <xf numFmtId="4" fontId="53" fillId="27" borderId="107" applyNumberFormat="0" applyProtection="0">
      <alignment horizontal="right" vertical="center"/>
    </xf>
    <xf numFmtId="4" fontId="53" fillId="19" borderId="113" applyNumberFormat="0" applyProtection="0">
      <alignment horizontal="left" vertical="center" indent="1"/>
    </xf>
    <xf numFmtId="349" fontId="53" fillId="31" borderId="112" applyNumberFormat="0" applyProtection="0">
      <alignment horizontal="left" vertical="top"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4" fontId="259" fillId="35" borderId="113" applyNumberFormat="0" applyProtection="0">
      <alignment horizontal="left" vertical="center" indent="1"/>
    </xf>
    <xf numFmtId="349" fontId="142" fillId="14" borderId="107" applyNumberFormat="0" applyAlignment="0" applyProtection="0"/>
    <xf numFmtId="349" fontId="9" fillId="32" borderId="112" applyNumberFormat="0" applyProtection="0">
      <alignment horizontal="left" vertical="top" indent="1"/>
    </xf>
    <xf numFmtId="349" fontId="142" fillId="14" borderId="107" applyNumberFormat="0" applyAlignment="0" applyProtection="0"/>
    <xf numFmtId="349" fontId="9" fillId="19" borderId="112" applyNumberFormat="0" applyProtection="0">
      <alignment horizontal="left" vertical="center" indent="1"/>
    </xf>
    <xf numFmtId="349" fontId="53" fillId="31" borderId="112" applyNumberFormat="0" applyProtection="0">
      <alignment horizontal="left" vertical="top" indent="1"/>
    </xf>
    <xf numFmtId="4" fontId="53" fillId="19" borderId="113" applyNumberFormat="0" applyProtection="0">
      <alignment horizontal="left" vertical="center" indent="1"/>
    </xf>
    <xf numFmtId="4" fontId="53" fillId="27" borderId="107" applyNumberFormat="0" applyProtection="0">
      <alignment horizontal="right" vertical="center"/>
    </xf>
    <xf numFmtId="4" fontId="53" fillId="20" borderId="107" applyNumberFormat="0" applyProtection="0">
      <alignment horizontal="right" vertical="center"/>
    </xf>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32" borderId="107" applyNumberFormat="0" applyProtection="0">
      <alignment horizontal="left" vertical="center" indent="1"/>
    </xf>
    <xf numFmtId="4" fontId="53" fillId="130" borderId="107" applyNumberFormat="0" applyProtection="0">
      <alignment horizontal="right" vertical="center"/>
    </xf>
    <xf numFmtId="349" fontId="53" fillId="30" borderId="112" applyNumberFormat="0" applyProtection="0">
      <alignment horizontal="left" vertical="top" indent="1"/>
    </xf>
    <xf numFmtId="4" fontId="53" fillId="30" borderId="113" applyNumberFormat="0" applyProtection="0">
      <alignment horizontal="left" vertical="center"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258" fillId="19" borderId="112" applyNumberFormat="0" applyProtection="0">
      <alignment horizontal="left" vertical="top" indent="1"/>
    </xf>
    <xf numFmtId="4" fontId="53" fillId="0" borderId="107" applyNumberFormat="0" applyProtection="0">
      <alignment horizontal="right" vertical="center"/>
    </xf>
    <xf numFmtId="349" fontId="9" fillId="32" borderId="112" applyNumberFormat="0" applyProtection="0">
      <alignment horizontal="left" vertical="top" indent="1"/>
    </xf>
    <xf numFmtId="37" fontId="64" fillId="0" borderId="115" applyNumberFormat="0"/>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4" fontId="53" fillId="19" borderId="113" applyNumberFormat="0" applyProtection="0">
      <alignment horizontal="left" vertical="center" indent="1"/>
    </xf>
    <xf numFmtId="4" fontId="53" fillId="22" borderId="113" applyNumberFormat="0" applyProtection="0">
      <alignment horizontal="right" vertical="center"/>
    </xf>
    <xf numFmtId="349" fontId="254" fillId="127" borderId="107" applyNumberFormat="0" applyAlignment="0" applyProtection="0"/>
    <xf numFmtId="349" fontId="53" fillId="32" borderId="112" applyNumberFormat="0" applyProtection="0">
      <alignment horizontal="left" vertical="top" indent="1"/>
    </xf>
    <xf numFmtId="349" fontId="53" fillId="13" borderId="107" applyNumberFormat="0" applyFont="0" applyAlignment="0" applyProtection="0"/>
    <xf numFmtId="349" fontId="53" fillId="13" borderId="107" applyNumberFormat="0" applyFont="0" applyAlignment="0" applyProtection="0"/>
    <xf numFmtId="349" fontId="53" fillId="19" borderId="112" applyNumberFormat="0" applyProtection="0">
      <alignment horizontal="left" vertical="top" indent="1"/>
    </xf>
    <xf numFmtId="349" fontId="9" fillId="31" borderId="112" applyNumberFormat="0" applyProtection="0">
      <alignment horizontal="left" vertical="center" indent="1"/>
    </xf>
    <xf numFmtId="349" fontId="9" fillId="19" borderId="112" applyNumberFormat="0" applyProtection="0">
      <alignment horizontal="left" vertical="top" indent="1"/>
    </xf>
    <xf numFmtId="349" fontId="53" fillId="31" borderId="112" applyNumberFormat="0" applyProtection="0">
      <alignment horizontal="left" vertical="top" indent="1"/>
    </xf>
    <xf numFmtId="4" fontId="53" fillId="0" borderId="107" applyNumberFormat="0" applyProtection="0">
      <alignment horizontal="right" vertical="center"/>
    </xf>
    <xf numFmtId="349" fontId="53" fillId="13" borderId="107" applyNumberFormat="0" applyFont="0" applyAlignment="0" applyProtection="0"/>
    <xf numFmtId="4" fontId="53" fillId="23" borderId="107" applyNumberFormat="0" applyProtection="0">
      <alignment horizontal="right" vertical="center"/>
    </xf>
    <xf numFmtId="4" fontId="53" fillId="23" borderId="107" applyNumberFormat="0" applyProtection="0">
      <alignment horizontal="right" vertical="center"/>
    </xf>
    <xf numFmtId="4" fontId="53" fillId="28" borderId="107" applyNumberFormat="0" applyProtection="0">
      <alignment horizontal="right" vertical="center"/>
    </xf>
    <xf numFmtId="349" fontId="53" fillId="61" borderId="107" applyNumberFormat="0" applyProtection="0">
      <alignment horizontal="left" vertical="center"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4" fontId="260" fillId="33" borderId="107" applyNumberFormat="0" applyProtection="0">
      <alignment horizontal="right" vertical="center"/>
    </xf>
    <xf numFmtId="4" fontId="53" fillId="64" borderId="107" applyNumberFormat="0" applyProtection="0">
      <alignment horizontal="left" vertical="center" indent="1"/>
    </xf>
    <xf numFmtId="349" fontId="53" fillId="30" borderId="112" applyNumberFormat="0" applyProtection="0">
      <alignment horizontal="left" vertical="top" indent="1"/>
    </xf>
    <xf numFmtId="4" fontId="259" fillId="35" borderId="113" applyNumberFormat="0" applyProtection="0">
      <alignment horizontal="left" vertical="center"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4" fontId="53" fillId="19" borderId="107" applyNumberFormat="0" applyProtection="0">
      <alignment horizontal="right" vertical="center"/>
    </xf>
    <xf numFmtId="4" fontId="53" fillId="20" borderId="107" applyNumberFormat="0" applyProtection="0">
      <alignment horizontal="right" vertical="center"/>
    </xf>
    <xf numFmtId="349" fontId="53" fillId="30" borderId="112" applyNumberFormat="0" applyProtection="0">
      <alignment horizontal="left" vertical="top" indent="1"/>
    </xf>
    <xf numFmtId="349" fontId="53" fillId="31" borderId="112" applyNumberFormat="0" applyProtection="0">
      <alignment horizontal="left" vertical="top" indent="1"/>
    </xf>
    <xf numFmtId="349" fontId="53" fillId="13" borderId="107" applyNumberFormat="0" applyFont="0" applyAlignment="0" applyProtection="0"/>
    <xf numFmtId="349" fontId="53" fillId="13" borderId="107" applyNumberFormat="0" applyFont="0" applyAlignment="0" applyProtection="0"/>
    <xf numFmtId="4" fontId="53" fillId="64" borderId="107" applyNumberFormat="0" applyProtection="0">
      <alignment horizontal="left" vertical="center" indent="1"/>
    </xf>
    <xf numFmtId="349" fontId="53" fillId="30" borderId="112" applyNumberFormat="0" applyProtection="0">
      <alignment horizontal="left" vertical="top" indent="1"/>
    </xf>
    <xf numFmtId="349" fontId="53" fillId="19" borderId="112" applyNumberFormat="0" applyProtection="0">
      <alignment horizontal="left" vertical="top" indent="1"/>
    </xf>
    <xf numFmtId="4" fontId="9" fillId="31" borderId="113" applyNumberFormat="0" applyProtection="0">
      <alignment horizontal="left" vertical="center" indent="1"/>
    </xf>
    <xf numFmtId="349" fontId="184" fillId="127" borderId="111" applyNumberFormat="0" applyAlignment="0" applyProtection="0"/>
    <xf numFmtId="169" fontId="12" fillId="0" borderId="0" applyFont="0" applyFill="0" applyBorder="0" applyAlignment="0" applyProtection="0"/>
    <xf numFmtId="349" fontId="257" fillId="18" borderId="112" applyNumberFormat="0" applyProtection="0">
      <alignment horizontal="left" vertical="top" indent="1"/>
    </xf>
    <xf numFmtId="4" fontId="53" fillId="27" borderId="107" applyNumberFormat="0" applyProtection="0">
      <alignment horizontal="right" vertical="center"/>
    </xf>
    <xf numFmtId="4" fontId="53" fillId="19" borderId="113" applyNumberFormat="0" applyProtection="0">
      <alignment horizontal="left" vertical="center" indent="1"/>
    </xf>
    <xf numFmtId="349" fontId="9" fillId="31" borderId="112" applyNumberFormat="0" applyProtection="0">
      <alignment horizontal="left" vertical="top" indent="1"/>
    </xf>
    <xf numFmtId="349" fontId="53" fillId="32" borderId="112" applyNumberFormat="0" applyProtection="0">
      <alignment horizontal="left" vertical="top" indent="1"/>
    </xf>
    <xf numFmtId="349" fontId="53" fillId="32" borderId="107" applyNumberFormat="0" applyProtection="0">
      <alignment horizontal="left" vertical="center" indent="1"/>
    </xf>
    <xf numFmtId="349" fontId="9" fillId="19" borderId="112" applyNumberFormat="0" applyProtection="0">
      <alignment horizontal="left" vertical="center" indent="1"/>
    </xf>
    <xf numFmtId="349" fontId="53" fillId="31" borderId="112" applyNumberFormat="0" applyProtection="0">
      <alignment horizontal="left" vertical="top" indent="1"/>
    </xf>
    <xf numFmtId="4" fontId="9" fillId="31" borderId="113" applyNumberFormat="0" applyProtection="0">
      <alignment horizontal="left" vertical="center" indent="1"/>
    </xf>
    <xf numFmtId="4" fontId="53" fillId="130" borderId="107" applyNumberFormat="0" applyProtection="0">
      <alignment horizontal="right" vertical="center"/>
    </xf>
    <xf numFmtId="349" fontId="53" fillId="13" borderId="107" applyNumberFormat="0" applyFont="0" applyAlignment="0" applyProtection="0"/>
    <xf numFmtId="349" fontId="254" fillId="127" borderId="107" applyNumberFormat="0" applyAlignment="0" applyProtection="0"/>
    <xf numFmtId="349" fontId="142" fillId="14"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4" fontId="256" fillId="45" borderId="107" applyNumberFormat="0" applyProtection="0">
      <alignment vertical="center"/>
    </xf>
    <xf numFmtId="4" fontId="53" fillId="19" borderId="107" applyNumberFormat="0" applyProtection="0">
      <alignment horizontal="right" vertical="center"/>
    </xf>
    <xf numFmtId="4" fontId="53" fillId="130" borderId="107" applyNumberFormat="0" applyProtection="0">
      <alignment horizontal="right" vertical="center"/>
    </xf>
    <xf numFmtId="349" fontId="53" fillId="31" borderId="112" applyNumberFormat="0" applyProtection="0">
      <alignment horizontal="left" vertical="top" indent="1"/>
    </xf>
    <xf numFmtId="4" fontId="53" fillId="29" borderId="113" applyNumberFormat="0" applyProtection="0">
      <alignment horizontal="left" vertical="center" indent="1"/>
    </xf>
    <xf numFmtId="4" fontId="53" fillId="26" borderId="107" applyNumberFormat="0" applyProtection="0">
      <alignment horizontal="right" vertical="center"/>
    </xf>
    <xf numFmtId="349" fontId="53" fillId="31"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53" fillId="30" borderId="112" applyNumberFormat="0" applyProtection="0">
      <alignment horizontal="left" vertical="top" indent="1"/>
    </xf>
    <xf numFmtId="4" fontId="258" fillId="34" borderId="112" applyNumberFormat="0" applyProtection="0">
      <alignment vertical="center"/>
    </xf>
    <xf numFmtId="4" fontId="259" fillId="35" borderId="113" applyNumberFormat="0" applyProtection="0">
      <alignment horizontal="left" vertical="center" indent="1"/>
    </xf>
    <xf numFmtId="349" fontId="53" fillId="19" borderId="112" applyNumberFormat="0" applyProtection="0">
      <alignment horizontal="left" vertical="top" indent="1"/>
    </xf>
    <xf numFmtId="4" fontId="53" fillId="64" borderId="107" applyNumberFormat="0" applyProtection="0">
      <alignment horizontal="left" vertical="center" indent="1"/>
    </xf>
    <xf numFmtId="349" fontId="53" fillId="30" borderId="112" applyNumberFormat="0" applyProtection="0">
      <alignment horizontal="left" vertical="top" indent="1"/>
    </xf>
    <xf numFmtId="4" fontId="53" fillId="0" borderId="107" applyNumberFormat="0" applyProtection="0">
      <alignment horizontal="right" vertical="center"/>
    </xf>
    <xf numFmtId="349" fontId="254" fillId="127" borderId="107" applyNumberFormat="0" applyAlignment="0" applyProtection="0"/>
    <xf numFmtId="349" fontId="53" fillId="13" borderId="107" applyNumberFormat="0" applyFont="0" applyAlignment="0" applyProtection="0"/>
    <xf numFmtId="4" fontId="9" fillId="31" borderId="113" applyNumberFormat="0" applyProtection="0">
      <alignment horizontal="left" vertical="center"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15" fillId="0" borderId="116" applyNumberFormat="0" applyFill="0" applyAlignment="0" applyProtection="0"/>
    <xf numFmtId="349" fontId="53" fillId="13" borderId="107" applyNumberFormat="0" applyFont="0" applyAlignment="0" applyProtection="0"/>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4" fontId="9" fillId="31" borderId="113" applyNumberFormat="0" applyProtection="0">
      <alignment horizontal="left" vertical="center" indent="1"/>
    </xf>
    <xf numFmtId="4" fontId="53" fillId="23" borderId="107" applyNumberFormat="0" applyProtection="0">
      <alignment horizontal="right" vertical="center"/>
    </xf>
    <xf numFmtId="4" fontId="256" fillId="45" borderId="107" applyNumberFormat="0" applyProtection="0">
      <alignment vertical="center"/>
    </xf>
    <xf numFmtId="349" fontId="53" fillId="13" borderId="107" applyNumberFormat="0" applyFont="0" applyAlignment="0" applyProtection="0"/>
    <xf numFmtId="349" fontId="254" fillId="127" borderId="107" applyNumberFormat="0" applyAlignment="0" applyProtection="0"/>
    <xf numFmtId="4" fontId="53" fillId="130" borderId="107" applyNumberFormat="0" applyProtection="0">
      <alignment horizontal="right" vertical="center"/>
    </xf>
    <xf numFmtId="349" fontId="53" fillId="13" borderId="107" applyNumberFormat="0" applyFont="0" applyAlignment="0" applyProtection="0"/>
    <xf numFmtId="349" fontId="258" fillId="34" borderId="112" applyNumberFormat="0" applyProtection="0">
      <alignment horizontal="left" vertical="top" indent="1"/>
    </xf>
    <xf numFmtId="4" fontId="53" fillId="25" borderId="107" applyNumberFormat="0" applyProtection="0">
      <alignment horizontal="right" vertical="center"/>
    </xf>
    <xf numFmtId="4" fontId="9" fillId="31" borderId="113"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9" fillId="30" borderId="112" applyNumberFormat="0" applyProtection="0">
      <alignment horizontal="left" vertical="center"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15" fillId="0" borderId="116" applyNumberFormat="0" applyFill="0" applyAlignment="0" applyProtection="0"/>
    <xf numFmtId="349" fontId="53" fillId="32" borderId="112" applyNumberFormat="0" applyProtection="0">
      <alignment horizontal="left" vertical="top" indent="1"/>
    </xf>
    <xf numFmtId="349" fontId="254" fillId="127" borderId="107" applyNumberFormat="0" applyAlignment="0" applyProtection="0"/>
    <xf numFmtId="4" fontId="53" fillId="0" borderId="107" applyNumberFormat="0" applyProtection="0">
      <alignment horizontal="right" vertical="center"/>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83" borderId="107" applyNumberFormat="0" applyProtection="0">
      <alignment horizontal="left" vertical="center" indent="1"/>
    </xf>
    <xf numFmtId="349" fontId="9" fillId="31" borderId="112" applyNumberFormat="0" applyProtection="0">
      <alignment horizontal="left" vertical="top" indent="1"/>
    </xf>
    <xf numFmtId="4" fontId="53" fillId="28" borderId="107" applyNumberFormat="0" applyProtection="0">
      <alignment horizontal="right" vertical="center"/>
    </xf>
    <xf numFmtId="349" fontId="257" fillId="18" borderId="112" applyNumberFormat="0" applyProtection="0">
      <alignment horizontal="left" vertical="top" indent="1"/>
    </xf>
    <xf numFmtId="349" fontId="93" fillId="31" borderId="114" applyBorder="0"/>
    <xf numFmtId="349" fontId="53" fillId="32" borderId="107" applyNumberFormat="0" applyProtection="0">
      <alignment horizontal="left" vertical="center" indent="1"/>
    </xf>
    <xf numFmtId="349" fontId="142" fillId="14" borderId="107" applyNumberFormat="0" applyAlignment="0" applyProtection="0"/>
    <xf numFmtId="4" fontId="258" fillId="61" borderId="112" applyNumberFormat="0" applyProtection="0">
      <alignment horizontal="left" vertical="center" indent="1"/>
    </xf>
    <xf numFmtId="349" fontId="53" fillId="13" borderId="107" applyNumberFormat="0" applyFont="0" applyAlignment="0" applyProtection="0"/>
    <xf numFmtId="349" fontId="254" fillId="127" borderId="107" applyNumberFormat="0" applyAlignment="0" applyProtection="0"/>
    <xf numFmtId="4" fontId="53" fillId="45" borderId="107" applyNumberFormat="0" applyProtection="0">
      <alignment horizontal="left" vertical="center" indent="1"/>
    </xf>
    <xf numFmtId="4" fontId="53" fillId="24" borderId="107" applyNumberFormat="0" applyProtection="0">
      <alignment horizontal="right" vertical="center"/>
    </xf>
    <xf numFmtId="4" fontId="9" fillId="31" borderId="113" applyNumberFormat="0" applyProtection="0">
      <alignment horizontal="left" vertical="center"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15" fillId="0" borderId="116" applyNumberFormat="0" applyFill="0" applyAlignment="0" applyProtection="0"/>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4" fontId="9" fillId="31" borderId="113" applyNumberFormat="0" applyProtection="0">
      <alignment horizontal="left" vertical="center" indent="1"/>
    </xf>
    <xf numFmtId="4" fontId="53" fillId="64" borderId="107" applyNumberFormat="0" applyProtection="0">
      <alignment horizontal="left" vertical="center" indent="1"/>
    </xf>
    <xf numFmtId="349" fontId="258" fillId="34" borderId="112" applyNumberFormat="0" applyProtection="0">
      <alignment horizontal="left" vertical="top" indent="1"/>
    </xf>
    <xf numFmtId="349" fontId="53" fillId="30" borderId="112" applyNumberFormat="0" applyProtection="0">
      <alignment horizontal="left" vertical="top" indent="1"/>
    </xf>
    <xf numFmtId="349" fontId="258" fillId="34" borderId="112" applyNumberFormat="0" applyProtection="0">
      <alignment horizontal="left" vertical="top" indent="1"/>
    </xf>
    <xf numFmtId="349" fontId="53" fillId="32" borderId="112" applyNumberFormat="0" applyProtection="0">
      <alignment horizontal="left" vertical="top" indent="1"/>
    </xf>
    <xf numFmtId="349" fontId="258" fillId="19" borderId="112" applyNumberFormat="0" applyProtection="0">
      <alignment horizontal="left" vertical="top" indent="1"/>
    </xf>
    <xf numFmtId="349" fontId="93" fillId="31" borderId="114" applyBorder="0"/>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214" fontId="64" fillId="0" borderId="28" applyFill="0"/>
    <xf numFmtId="4" fontId="53" fillId="28" borderId="107" applyNumberFormat="0" applyProtection="0">
      <alignment horizontal="right" vertical="center"/>
    </xf>
    <xf numFmtId="4" fontId="53" fillId="19" borderId="113" applyNumberFormat="0" applyProtection="0">
      <alignment horizontal="left" vertical="center" indent="1"/>
    </xf>
    <xf numFmtId="4" fontId="53" fillId="20" borderId="107" applyNumberFormat="0" applyProtection="0">
      <alignment horizontal="right" vertical="center"/>
    </xf>
    <xf numFmtId="4" fontId="53" fillId="28" borderId="107" applyNumberFormat="0" applyProtection="0">
      <alignment horizontal="right" vertical="center"/>
    </xf>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53" fillId="13" borderId="107" applyNumberFormat="0" applyFont="0" applyAlignment="0" applyProtection="0"/>
    <xf numFmtId="4" fontId="53" fillId="18" borderId="107" applyNumberFormat="0" applyProtection="0">
      <alignment vertical="center"/>
    </xf>
    <xf numFmtId="4" fontId="53" fillId="24" borderId="107" applyNumberFormat="0" applyProtection="0">
      <alignment horizontal="right" vertical="center"/>
    </xf>
    <xf numFmtId="4" fontId="53" fillId="30" borderId="113" applyNumberFormat="0" applyProtection="0">
      <alignment horizontal="left" vertical="center"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53" fillId="31" borderId="112" applyNumberFormat="0" applyProtection="0">
      <alignment horizontal="left" vertical="top" indent="1"/>
    </xf>
    <xf numFmtId="4" fontId="53" fillId="24" borderId="107" applyNumberFormat="0" applyProtection="0">
      <alignment horizontal="right" vertical="center"/>
    </xf>
    <xf numFmtId="4" fontId="53" fillId="18" borderId="107" applyNumberFormat="0" applyProtection="0">
      <alignment vertical="center"/>
    </xf>
    <xf numFmtId="4" fontId="53" fillId="64" borderId="107" applyNumberFormat="0" applyProtection="0">
      <alignment horizontal="left" vertical="center" indent="1"/>
    </xf>
    <xf numFmtId="4" fontId="53" fillId="45" borderId="107" applyNumberFormat="0" applyProtection="0">
      <alignment horizontal="left" vertical="center" indent="1"/>
    </xf>
    <xf numFmtId="4" fontId="53" fillId="26" borderId="107" applyNumberFormat="0" applyProtection="0">
      <alignment horizontal="right" vertical="center"/>
    </xf>
    <xf numFmtId="4" fontId="9" fillId="31" borderId="113" applyNumberFormat="0" applyProtection="0">
      <alignment horizontal="left" vertical="center" indent="1"/>
    </xf>
    <xf numFmtId="4" fontId="53" fillId="22" borderId="113" applyNumberFormat="0" applyProtection="0">
      <alignment horizontal="right" vertical="center"/>
    </xf>
    <xf numFmtId="4" fontId="53" fillId="30" borderId="113" applyNumberFormat="0" applyProtection="0">
      <alignment horizontal="left" vertical="center" indent="1"/>
    </xf>
    <xf numFmtId="349" fontId="9" fillId="31" borderId="112" applyNumberFormat="0" applyProtection="0">
      <alignment horizontal="left" vertical="center" indent="1"/>
    </xf>
    <xf numFmtId="349" fontId="53" fillId="32" borderId="112" applyNumberFormat="0" applyProtection="0">
      <alignment horizontal="left" vertical="top" indent="1"/>
    </xf>
    <xf numFmtId="4" fontId="9" fillId="31" borderId="113" applyNumberFormat="0" applyProtection="0">
      <alignment horizontal="left" vertical="center" indent="1"/>
    </xf>
    <xf numFmtId="349" fontId="184" fillId="127" borderId="111" applyNumberFormat="0" applyAlignment="0" applyProtection="0"/>
    <xf numFmtId="349" fontId="53" fillId="13" borderId="107" applyNumberFormat="0" applyFont="0" applyAlignment="0" applyProtection="0"/>
    <xf numFmtId="4" fontId="53" fillId="18" borderId="107" applyNumberFormat="0" applyProtection="0">
      <alignment vertical="center"/>
    </xf>
    <xf numFmtId="349" fontId="9" fillId="31" borderId="112" applyNumberFormat="0" applyProtection="0">
      <alignment horizontal="left" vertical="center" indent="1"/>
    </xf>
    <xf numFmtId="349" fontId="53" fillId="30" borderId="112" applyNumberFormat="0" applyProtection="0">
      <alignment horizontal="left" vertical="top" indent="1"/>
    </xf>
    <xf numFmtId="349" fontId="9"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53" fillId="61" borderId="107" applyNumberFormat="0" applyProtection="0">
      <alignment horizontal="left" vertical="center" indent="1"/>
    </xf>
    <xf numFmtId="4" fontId="53" fillId="26" borderId="107" applyNumberFormat="0" applyProtection="0">
      <alignment horizontal="right" vertical="center"/>
    </xf>
    <xf numFmtId="4" fontId="53" fillId="45" borderId="107" applyNumberFormat="0" applyProtection="0">
      <alignment horizontal="left" vertical="center" indent="1"/>
    </xf>
    <xf numFmtId="349" fontId="53" fillId="13" borderId="107" applyNumberFormat="0" applyFont="0" applyAlignment="0" applyProtection="0"/>
    <xf numFmtId="349" fontId="142" fillId="14"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4" fontId="53" fillId="25" borderId="107" applyNumberFormat="0" applyProtection="0">
      <alignment horizontal="right" vertical="center"/>
    </xf>
    <xf numFmtId="349" fontId="257" fillId="18" borderId="112" applyNumberFormat="0" applyProtection="0">
      <alignment horizontal="left" vertical="top" indent="1"/>
    </xf>
    <xf numFmtId="4" fontId="53" fillId="19" borderId="107" applyNumberFormat="0" applyProtection="0">
      <alignment horizontal="right" vertical="center"/>
    </xf>
    <xf numFmtId="4" fontId="53" fillId="26" borderId="107" applyNumberFormat="0" applyProtection="0">
      <alignment horizontal="right" vertical="center"/>
    </xf>
    <xf numFmtId="4" fontId="53" fillId="24" borderId="107" applyNumberFormat="0" applyProtection="0">
      <alignment horizontal="right" vertical="center"/>
    </xf>
    <xf numFmtId="349" fontId="53" fillId="31" borderId="112" applyNumberFormat="0" applyProtection="0">
      <alignment horizontal="left" vertical="top" indent="1"/>
    </xf>
    <xf numFmtId="349" fontId="254" fillId="127" borderId="107" applyNumberFormat="0" applyAlignment="0" applyProtection="0"/>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4" fontId="256" fillId="50" borderId="107" applyNumberFormat="0" applyProtection="0">
      <alignment horizontal="right" vertical="center"/>
    </xf>
    <xf numFmtId="349" fontId="15" fillId="0" borderId="116" applyNumberFormat="0" applyFill="0" applyAlignment="0" applyProtection="0"/>
    <xf numFmtId="4" fontId="258" fillId="34" borderId="112" applyNumberFormat="0" applyProtection="0">
      <alignment vertical="center"/>
    </xf>
    <xf numFmtId="349" fontId="53" fillId="30" borderId="112" applyNumberFormat="0" applyProtection="0">
      <alignment horizontal="left" vertical="top" indent="1"/>
    </xf>
    <xf numFmtId="349" fontId="93" fillId="31" borderId="114" applyBorder="0"/>
    <xf numFmtId="4" fontId="53" fillId="0" borderId="107" applyNumberFormat="0" applyProtection="0">
      <alignment horizontal="right" vertical="center"/>
    </xf>
    <xf numFmtId="349" fontId="53" fillId="30" borderId="112" applyNumberFormat="0" applyProtection="0">
      <alignment horizontal="left" vertical="top" indent="1"/>
    </xf>
    <xf numFmtId="4" fontId="53" fillId="28" borderId="107" applyNumberFormat="0" applyProtection="0">
      <alignment horizontal="right" vertical="center"/>
    </xf>
    <xf numFmtId="349" fontId="53" fillId="61" borderId="107" applyNumberFormat="0" applyProtection="0">
      <alignment horizontal="left" vertical="center"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4" fontId="260" fillId="33" borderId="107" applyNumberFormat="0" applyProtection="0">
      <alignment horizontal="right" vertical="center"/>
    </xf>
    <xf numFmtId="349" fontId="142" fillId="14" borderId="107" applyNumberFormat="0" applyAlignment="0" applyProtection="0"/>
    <xf numFmtId="349" fontId="53" fillId="32" borderId="112" applyNumberFormat="0" applyProtection="0">
      <alignment horizontal="left" vertical="top" indent="1"/>
    </xf>
    <xf numFmtId="349" fontId="142" fillId="14" borderId="107" applyNumberFormat="0" applyAlignment="0" applyProtection="0"/>
    <xf numFmtId="349" fontId="53" fillId="83" borderId="107" applyNumberFormat="0" applyProtection="0">
      <alignment horizontal="left" vertical="center" indent="1"/>
    </xf>
    <xf numFmtId="349" fontId="53" fillId="31" borderId="112" applyNumberFormat="0" applyProtection="0">
      <alignment horizontal="left" vertical="top" indent="1"/>
    </xf>
    <xf numFmtId="4" fontId="53" fillId="30" borderId="113" applyNumberFormat="0" applyProtection="0">
      <alignment horizontal="left" vertical="center" indent="1"/>
    </xf>
    <xf numFmtId="4" fontId="53" fillId="26" borderId="107" applyNumberFormat="0" applyProtection="0">
      <alignment horizontal="right" vertical="center"/>
    </xf>
    <xf numFmtId="4" fontId="53" fillId="64" borderId="107" applyNumberFormat="0" applyProtection="0">
      <alignment horizontal="left" vertical="center" indent="1"/>
    </xf>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93" fillId="31" borderId="114" applyBorder="0"/>
    <xf numFmtId="4" fontId="53" fillId="22" borderId="113" applyNumberFormat="0" applyProtection="0">
      <alignment horizontal="right" vertical="center"/>
    </xf>
    <xf numFmtId="349" fontId="53" fillId="30" borderId="112" applyNumberFormat="0" applyProtection="0">
      <alignment horizontal="left" vertical="top" indent="1"/>
    </xf>
    <xf numFmtId="4" fontId="53" fillId="19" borderId="113" applyNumberFormat="0" applyProtection="0">
      <alignment horizontal="left" vertical="center" indent="1"/>
    </xf>
    <xf numFmtId="349" fontId="53" fillId="31" borderId="112" applyNumberFormat="0" applyProtection="0">
      <alignment horizontal="left" vertical="top"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4" fontId="259" fillId="35" borderId="113" applyNumberFormat="0" applyProtection="0">
      <alignment horizontal="left" vertical="center" indent="1"/>
    </xf>
    <xf numFmtId="4" fontId="256" fillId="50" borderId="107" applyNumberFormat="0" applyProtection="0">
      <alignment horizontal="right" vertical="center"/>
    </xf>
    <xf numFmtId="349" fontId="53" fillId="13" borderId="107" applyNumberFormat="0" applyFont="0" applyAlignment="0" applyProtection="0"/>
    <xf numFmtId="4" fontId="260" fillId="33" borderId="107" applyNumberFormat="0" applyProtection="0">
      <alignment horizontal="right" vertical="center"/>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4" fontId="53" fillId="30" borderId="113" applyNumberFormat="0" applyProtection="0">
      <alignment horizontal="left" vertical="center" indent="1"/>
    </xf>
    <xf numFmtId="4" fontId="53" fillId="130" borderId="107" applyNumberFormat="0" applyProtection="0">
      <alignment horizontal="right" vertical="center"/>
    </xf>
    <xf numFmtId="349" fontId="53" fillId="32" borderId="112" applyNumberFormat="0" applyProtection="0">
      <alignment horizontal="left" vertical="top" indent="1"/>
    </xf>
    <xf numFmtId="349" fontId="53" fillId="13" borderId="107" applyNumberFormat="0" applyFont="0" applyAlignment="0" applyProtection="0"/>
    <xf numFmtId="349" fontId="53" fillId="13" borderId="107" applyNumberFormat="0" applyFont="0" applyAlignment="0" applyProtection="0"/>
    <xf numFmtId="349" fontId="53" fillId="32" borderId="107" applyNumberFormat="0" applyProtection="0">
      <alignment horizontal="left" vertical="center"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4" fontId="256" fillId="50" borderId="107" applyNumberFormat="0" applyProtection="0">
      <alignment horizontal="right" vertical="center"/>
    </xf>
    <xf numFmtId="349" fontId="53" fillId="13" borderId="107" applyNumberFormat="0" applyFont="0" applyAlignment="0" applyProtection="0"/>
    <xf numFmtId="4" fontId="53" fillId="22" borderId="113" applyNumberFormat="0" applyProtection="0">
      <alignment horizontal="right" vertical="center"/>
    </xf>
    <xf numFmtId="4" fontId="53" fillId="24" borderId="107" applyNumberFormat="0" applyProtection="0">
      <alignment horizontal="right" vertical="center"/>
    </xf>
    <xf numFmtId="4" fontId="53" fillId="29" borderId="113"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7" fontId="64" fillId="0" borderId="115" applyNumberFormat="0"/>
    <xf numFmtId="4" fontId="260" fillId="33" borderId="107" applyNumberFormat="0" applyProtection="0">
      <alignment horizontal="right" vertical="center"/>
    </xf>
    <xf numFmtId="349" fontId="53" fillId="19" borderId="112" applyNumberFormat="0" applyProtection="0">
      <alignment horizontal="left" vertical="top" indent="1"/>
    </xf>
    <xf numFmtId="349" fontId="258" fillId="19" borderId="112" applyNumberFormat="0" applyProtection="0">
      <alignment horizontal="left" vertical="top" indent="1"/>
    </xf>
    <xf numFmtId="349" fontId="53" fillId="30" borderId="112" applyNumberFormat="0" applyProtection="0">
      <alignment horizontal="left" vertical="top" indent="1"/>
    </xf>
    <xf numFmtId="349" fontId="9" fillId="32" borderId="112" applyNumberFormat="0" applyProtection="0">
      <alignment horizontal="left" vertical="center" indent="1"/>
    </xf>
    <xf numFmtId="349" fontId="9" fillId="19" borderId="112" applyNumberFormat="0" applyProtection="0">
      <alignment horizontal="left" vertical="center" indent="1"/>
    </xf>
    <xf numFmtId="349" fontId="53" fillId="31" borderId="112" applyNumberFormat="0" applyProtection="0">
      <alignment horizontal="left" vertical="top" indent="1"/>
    </xf>
    <xf numFmtId="4" fontId="9" fillId="31" borderId="113" applyNumberFormat="0" applyProtection="0">
      <alignment horizontal="left" vertical="center" indent="1"/>
    </xf>
    <xf numFmtId="4" fontId="53" fillId="64" borderId="107" applyNumberFormat="0" applyProtection="0">
      <alignment horizontal="left" vertical="center" indent="1"/>
    </xf>
    <xf numFmtId="349" fontId="53" fillId="31" borderId="112" applyNumberFormat="0" applyProtection="0">
      <alignment horizontal="left" vertical="top" indent="1"/>
    </xf>
    <xf numFmtId="349" fontId="53" fillId="13" borderId="107" applyNumberFormat="0" applyFont="0" applyAlignment="0" applyProtection="0"/>
    <xf numFmtId="4" fontId="256" fillId="50" borderId="107" applyNumberFormat="0" applyProtection="0">
      <alignment horizontal="right" vertical="center"/>
    </xf>
    <xf numFmtId="349" fontId="9" fillId="30" borderId="112" applyNumberFormat="0" applyProtection="0">
      <alignment horizontal="left" vertical="top" indent="1"/>
    </xf>
    <xf numFmtId="349" fontId="53" fillId="19" borderId="112" applyNumberFormat="0" applyProtection="0">
      <alignment horizontal="left" vertical="top" indent="1"/>
    </xf>
    <xf numFmtId="4" fontId="53" fillId="29" borderId="113" applyNumberFormat="0" applyProtection="0">
      <alignment horizontal="left" vertical="center" indent="1"/>
    </xf>
    <xf numFmtId="4" fontId="53" fillId="22" borderId="113" applyNumberFormat="0" applyProtection="0">
      <alignment horizontal="right" vertical="center"/>
    </xf>
    <xf numFmtId="4" fontId="258" fillId="61" borderId="112" applyNumberFormat="0" applyProtection="0">
      <alignment horizontal="left" vertical="center" indent="1"/>
    </xf>
    <xf numFmtId="349" fontId="15" fillId="0" borderId="116" applyNumberFormat="0" applyFill="0" applyAlignment="0" applyProtection="0"/>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254" fillId="127" borderId="107" applyNumberFormat="0" applyAlignment="0" applyProtection="0"/>
    <xf numFmtId="349" fontId="53" fillId="13" borderId="107" applyNumberFormat="0" applyFont="0" applyAlignment="0" applyProtection="0"/>
    <xf numFmtId="4" fontId="256" fillId="45" borderId="107" applyNumberFormat="0" applyProtection="0">
      <alignment vertical="center"/>
    </xf>
    <xf numFmtId="4" fontId="53" fillId="27" borderId="107" applyNumberFormat="0" applyProtection="0">
      <alignment horizontal="right" vertical="center"/>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258" fillId="34" borderId="112" applyNumberFormat="0" applyProtection="0">
      <alignment horizontal="left" vertical="top" indent="1"/>
    </xf>
    <xf numFmtId="349" fontId="15" fillId="0" borderId="116" applyNumberFormat="0" applyFill="0" applyAlignment="0" applyProtection="0"/>
    <xf numFmtId="349" fontId="53" fillId="30" borderId="112" applyNumberFormat="0" applyProtection="0">
      <alignment horizontal="left" vertical="top"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4" fontId="9" fillId="31" borderId="113" applyNumberFormat="0" applyProtection="0">
      <alignment horizontal="left" vertical="center" indent="1"/>
    </xf>
    <xf numFmtId="4" fontId="53" fillId="26" borderId="107" applyNumberFormat="0" applyProtection="0">
      <alignment horizontal="right" vertical="center"/>
    </xf>
    <xf numFmtId="349" fontId="53" fillId="13" borderId="107" applyNumberFormat="0" applyFont="0" applyAlignment="0" applyProtection="0"/>
    <xf numFmtId="4" fontId="53" fillId="18" borderId="107" applyNumberFormat="0" applyProtection="0">
      <alignment vertical="center"/>
    </xf>
    <xf numFmtId="4" fontId="53" fillId="29" borderId="113" applyNumberFormat="0" applyProtection="0">
      <alignment horizontal="left" vertical="center" indent="1"/>
    </xf>
    <xf numFmtId="349" fontId="9" fillId="31" borderId="112" applyNumberFormat="0" applyProtection="0">
      <alignment horizontal="left" vertical="center" indent="1"/>
    </xf>
    <xf numFmtId="349" fontId="9" fillId="19" borderId="112" applyNumberFormat="0" applyProtection="0">
      <alignment horizontal="left" vertical="top" indent="1"/>
    </xf>
    <xf numFmtId="349" fontId="53" fillId="13" borderId="107" applyNumberFormat="0" applyFont="0" applyAlignment="0" applyProtection="0"/>
    <xf numFmtId="214" fontId="64" fillId="0" borderId="28" applyFill="0"/>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4" fontId="53" fillId="19" borderId="107" applyNumberFormat="0" applyProtection="0">
      <alignment horizontal="right" vertical="center"/>
    </xf>
    <xf numFmtId="4" fontId="53" fillId="45" borderId="107" applyNumberFormat="0" applyProtection="0">
      <alignment horizontal="left" vertical="center" indent="1"/>
    </xf>
    <xf numFmtId="4" fontId="256" fillId="50" borderId="107" applyNumberFormat="0" applyProtection="0">
      <alignment horizontal="right" vertical="center"/>
    </xf>
    <xf numFmtId="349" fontId="53" fillId="30" borderId="112" applyNumberFormat="0" applyProtection="0">
      <alignment horizontal="left" vertical="top" indent="1"/>
    </xf>
    <xf numFmtId="349" fontId="258" fillId="19" borderId="112" applyNumberFormat="0" applyProtection="0">
      <alignment horizontal="left" vertical="top" indent="1"/>
    </xf>
    <xf numFmtId="4" fontId="260" fillId="33" borderId="107" applyNumberFormat="0" applyProtection="0">
      <alignment horizontal="right" vertical="center"/>
    </xf>
    <xf numFmtId="4" fontId="258" fillId="61" borderId="112" applyNumberFormat="0" applyProtection="0">
      <alignment horizontal="left" vertical="center" indent="1"/>
    </xf>
    <xf numFmtId="349" fontId="9" fillId="30" borderId="112" applyNumberFormat="0" applyProtection="0">
      <alignment horizontal="left" vertical="center"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9" fillId="30" borderId="112" applyNumberFormat="0" applyProtection="0">
      <alignment horizontal="left" vertical="top" indent="1"/>
    </xf>
    <xf numFmtId="4" fontId="9" fillId="31" borderId="113" applyNumberFormat="0" applyProtection="0">
      <alignment horizontal="left" vertical="center" indent="1"/>
    </xf>
    <xf numFmtId="349" fontId="9" fillId="31" borderId="112" applyNumberFormat="0" applyProtection="0">
      <alignment horizontal="left" vertical="top" indent="1"/>
    </xf>
    <xf numFmtId="4" fontId="53" fillId="22" borderId="113" applyNumberFormat="0" applyProtection="0">
      <alignment horizontal="right" vertical="center"/>
    </xf>
    <xf numFmtId="349" fontId="53" fillId="61" borderId="107" applyNumberFormat="0" applyProtection="0">
      <alignment horizontal="left" vertical="center" indent="1"/>
    </xf>
    <xf numFmtId="4" fontId="53" fillId="45" borderId="107" applyNumberFormat="0" applyProtection="0">
      <alignment horizontal="left" vertical="center" indent="1"/>
    </xf>
    <xf numFmtId="349" fontId="53" fillId="13" borderId="107" applyNumberFormat="0" applyFont="0" applyAlignment="0" applyProtection="0"/>
    <xf numFmtId="349" fontId="53" fillId="13" borderId="107" applyNumberFormat="0" applyFont="0" applyAlignment="0" applyProtection="0"/>
    <xf numFmtId="349" fontId="254" fillId="127" borderId="107" applyNumberFormat="0" applyAlignment="0" applyProtection="0"/>
    <xf numFmtId="349" fontId="53" fillId="13" borderId="107" applyNumberFormat="0" applyFont="0" applyAlignment="0" applyProtection="0"/>
    <xf numFmtId="4" fontId="53" fillId="20" borderId="107" applyNumberFormat="0" applyProtection="0">
      <alignment horizontal="right" vertical="center"/>
    </xf>
    <xf numFmtId="4" fontId="53" fillId="29" borderId="113" applyNumberFormat="0" applyProtection="0">
      <alignment horizontal="left" vertical="center" indent="1"/>
    </xf>
    <xf numFmtId="349" fontId="9" fillId="31" borderId="112" applyNumberFormat="0" applyProtection="0">
      <alignment horizontal="left" vertical="top" indent="1"/>
    </xf>
    <xf numFmtId="349" fontId="53" fillId="83" borderId="107" applyNumberFormat="0" applyProtection="0">
      <alignment horizontal="left" vertical="center"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1" borderId="112" applyNumberFormat="0" applyProtection="0">
      <alignment horizontal="left" vertical="top" indent="1"/>
    </xf>
    <xf numFmtId="4" fontId="53" fillId="28" borderId="107" applyNumberFormat="0" applyProtection="0">
      <alignment horizontal="right" vertical="center"/>
    </xf>
    <xf numFmtId="4" fontId="53" fillId="27" borderId="107" applyNumberFormat="0" applyProtection="0">
      <alignment horizontal="right" vertical="center"/>
    </xf>
    <xf numFmtId="349" fontId="53" fillId="31" borderId="112" applyNumberFormat="0" applyProtection="0">
      <alignment horizontal="left" vertical="top" indent="1"/>
    </xf>
    <xf numFmtId="349" fontId="53" fillId="32" borderId="112" applyNumberFormat="0" applyProtection="0">
      <alignment horizontal="left" vertical="top" indent="1"/>
    </xf>
    <xf numFmtId="349" fontId="254" fillId="127" borderId="107" applyNumberFormat="0" applyAlignment="0" applyProtection="0"/>
    <xf numFmtId="349" fontId="53" fillId="19" borderId="112" applyNumberFormat="0" applyProtection="0">
      <alignment horizontal="left" vertical="top" indent="1"/>
    </xf>
    <xf numFmtId="349" fontId="53" fillId="30" borderId="112" applyNumberFormat="0" applyProtection="0">
      <alignment horizontal="left" vertical="top" indent="1"/>
    </xf>
    <xf numFmtId="4" fontId="53" fillId="64" borderId="107" applyNumberFormat="0" applyProtection="0">
      <alignment horizontal="left" vertical="center" indent="1"/>
    </xf>
    <xf numFmtId="4" fontId="53" fillId="0" borderId="107" applyNumberFormat="0" applyProtection="0">
      <alignment horizontal="right" vertical="center"/>
    </xf>
    <xf numFmtId="349" fontId="53" fillId="13" borderId="107" applyNumberFormat="0" applyFont="0" applyAlignment="0" applyProtection="0"/>
    <xf numFmtId="349" fontId="142" fillId="14" borderId="107" applyNumberFormat="0" applyAlignment="0" applyProtection="0"/>
    <xf numFmtId="349" fontId="257" fillId="18" borderId="112" applyNumberFormat="0" applyProtection="0">
      <alignment horizontal="left" vertical="top" indent="1"/>
    </xf>
    <xf numFmtId="349" fontId="53" fillId="13" borderId="107" applyNumberFormat="0" applyFont="0" applyAlignment="0" applyProtection="0"/>
    <xf numFmtId="349" fontId="53" fillId="30" borderId="107" applyNumberFormat="0" applyProtection="0">
      <alignment horizontal="left" vertical="center" indent="1"/>
    </xf>
    <xf numFmtId="169" fontId="12" fillId="0" borderId="0" applyFont="0" applyFill="0" applyBorder="0" applyAlignment="0" applyProtection="0"/>
    <xf numFmtId="169" fontId="12" fillId="0" borderId="0" applyFont="0" applyFill="0" applyBorder="0" applyAlignment="0" applyProtection="0"/>
    <xf numFmtId="349" fontId="254" fillId="127" borderId="107" applyNumberFormat="0" applyAlignment="0" applyProtection="0"/>
    <xf numFmtId="4" fontId="256" fillId="50" borderId="107" applyNumberFormat="0" applyProtection="0">
      <alignment horizontal="right" vertical="center"/>
    </xf>
    <xf numFmtId="349" fontId="142" fillId="14" borderId="107" applyNumberFormat="0" applyAlignment="0" applyProtection="0"/>
    <xf numFmtId="169" fontId="12" fillId="0" borderId="0" applyFont="0" applyFill="0" applyBorder="0" applyAlignment="0" applyProtection="0"/>
    <xf numFmtId="349" fontId="254" fillId="127" borderId="107" applyNumberFormat="0" applyAlignment="0" applyProtection="0"/>
    <xf numFmtId="4" fontId="53" fillId="45" borderId="107" applyNumberFormat="0" applyProtection="0">
      <alignment horizontal="left" vertical="center" indent="1"/>
    </xf>
    <xf numFmtId="349" fontId="142" fillId="14" borderId="107" applyNumberFormat="0" applyAlignment="0" applyProtection="0"/>
    <xf numFmtId="4" fontId="53" fillId="64" borderId="107" applyNumberFormat="0" applyProtection="0">
      <alignment horizontal="left" vertical="center" indent="1"/>
    </xf>
    <xf numFmtId="4" fontId="53" fillId="26" borderId="107" applyNumberFormat="0" applyProtection="0">
      <alignment horizontal="right" vertical="center"/>
    </xf>
    <xf numFmtId="169" fontId="12" fillId="0" borderId="0" applyFont="0" applyFill="0" applyBorder="0" applyAlignment="0" applyProtection="0"/>
    <xf numFmtId="4" fontId="260" fillId="33" borderId="107" applyNumberFormat="0" applyProtection="0">
      <alignment horizontal="right" vertical="center"/>
    </xf>
    <xf numFmtId="4" fontId="53" fillId="23" borderId="107" applyNumberFormat="0" applyProtection="0">
      <alignment horizontal="right" vertical="center"/>
    </xf>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cellStyleXfs>
  <cellXfs count="883">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5" fillId="0" borderId="0" xfId="75" applyFont="1" applyProtection="1">
      <protection locked="0"/>
    </xf>
    <xf numFmtId="0" fontId="8" fillId="0" borderId="0" xfId="0" applyFont="1" applyAlignment="1">
      <alignment horizontal="left" vertical="top"/>
    </xf>
    <xf numFmtId="0" fontId="8" fillId="0" borderId="0" xfId="0" applyFont="1"/>
    <xf numFmtId="0" fontId="26" fillId="0" borderId="0" xfId="0" applyFont="1"/>
    <xf numFmtId="0" fontId="27" fillId="0" borderId="0" xfId="0" applyFont="1"/>
    <xf numFmtId="0" fontId="10" fillId="42" borderId="0" xfId="7" applyFont="1" applyFill="1"/>
    <xf numFmtId="0" fontId="9" fillId="42" borderId="0" xfId="88" applyFill="1"/>
    <xf numFmtId="0" fontId="0" fillId="0" borderId="0" xfId="0" applyAlignment="1">
      <alignment horizontal="center" vertical="top" wrapText="1"/>
    </xf>
    <xf numFmtId="0" fontId="10" fillId="42" borderId="0" xfId="75" applyFont="1" applyFill="1" applyAlignment="1">
      <alignment horizontal="center" vertical="top"/>
    </xf>
    <xf numFmtId="0" fontId="24" fillId="0" borderId="0" xfId="75" applyFont="1"/>
    <xf numFmtId="0" fontId="33" fillId="0" borderId="0" xfId="75" applyFont="1"/>
    <xf numFmtId="0" fontId="32" fillId="47" borderId="0" xfId="75" applyFont="1" applyFill="1"/>
    <xf numFmtId="0" fontId="30" fillId="47" borderId="0" xfId="90" applyFont="1" applyFill="1" applyAlignment="1">
      <alignment horizontal="left"/>
    </xf>
    <xf numFmtId="0" fontId="24" fillId="0" borderId="0" xfId="93" applyFont="1"/>
    <xf numFmtId="0" fontId="31" fillId="0" borderId="0" xfId="75" applyFont="1"/>
    <xf numFmtId="0" fontId="32" fillId="0" borderId="0" xfId="75" applyFont="1"/>
    <xf numFmtId="0" fontId="35" fillId="47" borderId="0" xfId="90" applyFont="1" applyFill="1" applyAlignment="1">
      <alignment horizontal="left"/>
    </xf>
    <xf numFmtId="0" fontId="0" fillId="42" borderId="0" xfId="0" applyFill="1" applyAlignment="1">
      <alignment horizontal="right" vertical="top"/>
    </xf>
    <xf numFmtId="0" fontId="30" fillId="0" borderId="0" xfId="90" applyFont="1" applyAlignment="1">
      <alignment horizontal="left"/>
    </xf>
    <xf numFmtId="14" fontId="10" fillId="42" borderId="0" xfId="2" applyNumberFormat="1" applyFont="1" applyFill="1" applyBorder="1"/>
    <xf numFmtId="0" fontId="8" fillId="42" borderId="0" xfId="0" applyFont="1" applyFill="1"/>
    <xf numFmtId="0" fontId="0" fillId="42" borderId="0" xfId="0" applyFill="1"/>
    <xf numFmtId="1" fontId="8" fillId="0" borderId="0" xfId="0" applyNumberFormat="1" applyFont="1" applyAlignment="1">
      <alignment horizontal="center"/>
    </xf>
    <xf numFmtId="0" fontId="0" fillId="0" borderId="0" xfId="0" applyAlignment="1">
      <alignment vertical="center"/>
    </xf>
    <xf numFmtId="178" fontId="8" fillId="0" borderId="0" xfId="0" applyNumberFormat="1" applyFont="1" applyAlignment="1">
      <alignment horizontal="center"/>
    </xf>
    <xf numFmtId="178" fontId="0" fillId="0" borderId="0" xfId="0" applyNumberFormat="1" applyAlignment="1">
      <alignment horizontal="right" vertical="top"/>
    </xf>
    <xf numFmtId="178" fontId="0" fillId="0" borderId="0" xfId="0" applyNumberFormat="1" applyAlignment="1">
      <alignment horizontal="right"/>
    </xf>
    <xf numFmtId="1" fontId="8" fillId="0" borderId="0" xfId="0" applyNumberFormat="1" applyFont="1" applyAlignment="1">
      <alignment horizontal="right"/>
    </xf>
    <xf numFmtId="0" fontId="0" fillId="0" borderId="0" xfId="0" applyAlignment="1">
      <alignment horizontal="center" wrapText="1"/>
    </xf>
    <xf numFmtId="0" fontId="26" fillId="0" borderId="0" xfId="0" applyFont="1" applyAlignment="1">
      <alignment horizontal="right" indent="1"/>
    </xf>
    <xf numFmtId="178" fontId="8" fillId="0" borderId="0" xfId="0" applyNumberFormat="1" applyFont="1" applyAlignment="1">
      <alignment horizontal="right"/>
    </xf>
    <xf numFmtId="10" fontId="0" fillId="0" borderId="0" xfId="0" applyNumberFormat="1" applyAlignment="1">
      <alignment horizontal="right" vertical="top"/>
    </xf>
    <xf numFmtId="170" fontId="0" fillId="0" borderId="0" xfId="0" applyNumberFormat="1" applyAlignment="1">
      <alignment horizontal="left" vertical="top"/>
    </xf>
    <xf numFmtId="0" fontId="42" fillId="0" borderId="0" xfId="0" applyFont="1" applyAlignment="1">
      <alignment horizontal="center"/>
    </xf>
    <xf numFmtId="0" fontId="0" fillId="0" borderId="0" xfId="0" applyAlignment="1">
      <alignment horizontal="center" vertical="center" wrapText="1"/>
    </xf>
    <xf numFmtId="0" fontId="10" fillId="0" borderId="0" xfId="7" applyFont="1" applyAlignment="1">
      <alignment horizontal="center"/>
    </xf>
    <xf numFmtId="0" fontId="0" fillId="53" borderId="0" xfId="0" applyFill="1" applyAlignment="1">
      <alignment horizontal="left" vertical="top"/>
    </xf>
    <xf numFmtId="0" fontId="0" fillId="53" borderId="0" xfId="0" applyFill="1" applyAlignment="1">
      <alignment horizontal="center" vertical="top"/>
    </xf>
    <xf numFmtId="1" fontId="8" fillId="2" borderId="59" xfId="0" applyNumberFormat="1" applyFont="1" applyFill="1" applyBorder="1" applyAlignment="1">
      <alignment horizontal="center" vertical="center"/>
    </xf>
    <xf numFmtId="177" fontId="10" fillId="38" borderId="65" xfId="1" applyNumberFormat="1" applyFont="1" applyFill="1" applyBorder="1" applyProtection="1"/>
    <xf numFmtId="177" fontId="10" fillId="38" borderId="66" xfId="1" applyNumberFormat="1" applyFont="1" applyFill="1" applyBorder="1" applyProtection="1"/>
    <xf numFmtId="177" fontId="10" fillId="38" borderId="67" xfId="1" applyNumberFormat="1" applyFont="1" applyFill="1" applyBorder="1" applyProtection="1"/>
    <xf numFmtId="177" fontId="10" fillId="38" borderId="59" xfId="1" applyNumberFormat="1" applyFont="1" applyFill="1" applyBorder="1" applyProtection="1"/>
    <xf numFmtId="177" fontId="10" fillId="38" borderId="60" xfId="1" applyNumberFormat="1" applyFont="1" applyFill="1" applyBorder="1" applyProtection="1"/>
    <xf numFmtId="177" fontId="10" fillId="38" borderId="61" xfId="1" applyNumberFormat="1" applyFont="1" applyFill="1" applyBorder="1" applyProtection="1"/>
    <xf numFmtId="1" fontId="8" fillId="2" borderId="59" xfId="0" applyNumberFormat="1" applyFont="1" applyFill="1" applyBorder="1" applyAlignment="1">
      <alignment horizontal="center" vertical="center" wrapText="1"/>
    </xf>
    <xf numFmtId="177" fontId="10" fillId="38" borderId="71" xfId="1" applyNumberFormat="1" applyFont="1" applyFill="1" applyBorder="1" applyProtection="1"/>
    <xf numFmtId="177" fontId="10" fillId="38" borderId="72" xfId="1" applyNumberFormat="1" applyFont="1" applyFill="1" applyBorder="1" applyProtection="1"/>
    <xf numFmtId="177" fontId="10" fillId="38" borderId="73" xfId="1" applyNumberFormat="1" applyFont="1" applyFill="1" applyBorder="1" applyProtection="1"/>
    <xf numFmtId="170" fontId="10" fillId="52" borderId="68" xfId="2" applyNumberFormat="1" applyFont="1" applyFill="1" applyBorder="1" applyAlignment="1">
      <alignment vertical="center"/>
    </xf>
    <xf numFmtId="170" fontId="10" fillId="52" borderId="70" xfId="2" applyNumberFormat="1" applyFont="1" applyFill="1" applyBorder="1" applyAlignment="1">
      <alignment vertical="center"/>
    </xf>
    <xf numFmtId="170" fontId="10" fillId="52" borderId="59" xfId="2" applyNumberFormat="1" applyFont="1" applyFill="1" applyBorder="1" applyAlignment="1">
      <alignment vertical="center"/>
    </xf>
    <xf numFmtId="170" fontId="10" fillId="52" borderId="61" xfId="2" applyNumberFormat="1" applyFont="1" applyFill="1" applyBorder="1" applyAlignment="1">
      <alignment vertical="center"/>
    </xf>
    <xf numFmtId="10" fontId="0" fillId="51" borderId="71" xfId="0" applyNumberFormat="1" applyFill="1" applyBorder="1" applyAlignment="1">
      <alignment horizontal="right" vertical="top"/>
    </xf>
    <xf numFmtId="10" fontId="0" fillId="51" borderId="72" xfId="0" applyNumberFormat="1" applyFill="1" applyBorder="1" applyAlignment="1">
      <alignment horizontal="right" vertical="top"/>
    </xf>
    <xf numFmtId="183" fontId="0" fillId="51" borderId="71" xfId="0" applyNumberFormat="1" applyFill="1" applyBorder="1" applyAlignment="1">
      <alignment horizontal="right" vertical="top"/>
    </xf>
    <xf numFmtId="178" fontId="0" fillId="54" borderId="71" xfId="0" applyNumberFormat="1" applyFill="1" applyBorder="1" applyAlignment="1">
      <alignment horizontal="right"/>
    </xf>
    <xf numFmtId="0" fontId="8" fillId="53" borderId="0" xfId="0" applyFont="1" applyFill="1" applyAlignment="1">
      <alignment horizontal="left" vertical="top"/>
    </xf>
    <xf numFmtId="1" fontId="8" fillId="2" borderId="71" xfId="0" applyNumberFormat="1" applyFont="1" applyFill="1" applyBorder="1" applyAlignment="1">
      <alignment horizontal="center" vertical="center"/>
    </xf>
    <xf numFmtId="1" fontId="8" fillId="2" borderId="72" xfId="0" applyNumberFormat="1" applyFont="1" applyFill="1" applyBorder="1" applyAlignment="1">
      <alignment horizontal="center" vertical="center"/>
    </xf>
    <xf numFmtId="1" fontId="8" fillId="2" borderId="73" xfId="0" applyNumberFormat="1" applyFont="1" applyFill="1" applyBorder="1" applyAlignment="1">
      <alignment horizontal="center" wrapText="1"/>
    </xf>
    <xf numFmtId="0" fontId="32" fillId="47" borderId="11" xfId="75" applyFont="1" applyFill="1" applyBorder="1"/>
    <xf numFmtId="0" fontId="0" fillId="0" borderId="0" xfId="0" applyAlignment="1">
      <alignment horizontal="left" vertical="top" indent="1"/>
    </xf>
    <xf numFmtId="0" fontId="0" fillId="0" borderId="0" xfId="0" applyAlignment="1">
      <alignment horizontal="left" vertical="top" wrapText="1" indent="1"/>
    </xf>
    <xf numFmtId="0" fontId="30" fillId="47" borderId="0" xfId="90" applyFont="1" applyFill="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177" fontId="11" fillId="38" borderId="71" xfId="1" applyNumberFormat="1" applyFont="1" applyFill="1" applyBorder="1" applyProtection="1"/>
    <xf numFmtId="177" fontId="11" fillId="38" borderId="72" xfId="1" applyNumberFormat="1" applyFont="1" applyFill="1" applyBorder="1" applyProtection="1"/>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5" fillId="47" borderId="0" xfId="90" applyFont="1" applyFill="1" applyAlignment="1">
      <alignment horizontal="center" vertical="center"/>
    </xf>
    <xf numFmtId="0" fontId="8" fillId="0" borderId="0" xfId="0" applyFont="1" applyAlignment="1">
      <alignment horizontal="center" vertical="center" wrapText="1"/>
    </xf>
    <xf numFmtId="0" fontId="0" fillId="0" borderId="0" xfId="0" applyAlignment="1">
      <alignment horizontal="right" vertical="top" indent="1"/>
    </xf>
    <xf numFmtId="1" fontId="0" fillId="0" borderId="0" xfId="0" applyNumberFormat="1" applyAlignment="1">
      <alignment horizontal="right"/>
    </xf>
    <xf numFmtId="175" fontId="0" fillId="0" borderId="0" xfId="0" applyNumberFormat="1"/>
    <xf numFmtId="175" fontId="8" fillId="0" borderId="0" xfId="0" applyNumberFormat="1" applyFont="1"/>
    <xf numFmtId="175" fontId="10" fillId="38" borderId="64" xfId="77" applyNumberFormat="1" applyFont="1" applyFill="1" applyBorder="1" applyProtection="1"/>
    <xf numFmtId="177" fontId="10" fillId="39" borderId="59" xfId="1" applyNumberFormat="1" applyFont="1" applyFill="1" applyBorder="1" applyProtection="1"/>
    <xf numFmtId="177" fontId="10" fillId="39" borderId="60" xfId="1" applyNumberFormat="1" applyFont="1" applyFill="1" applyBorder="1" applyProtection="1"/>
    <xf numFmtId="175" fontId="10" fillId="38" borderId="70" xfId="77" applyNumberFormat="1" applyFont="1" applyFill="1" applyBorder="1" applyProtection="1"/>
    <xf numFmtId="1" fontId="8" fillId="2" borderId="61" xfId="0" applyNumberFormat="1" applyFont="1" applyFill="1" applyBorder="1" applyAlignment="1">
      <alignment horizontal="center" vertical="center" wrapText="1"/>
    </xf>
    <xf numFmtId="1" fontId="8" fillId="2" borderId="73" xfId="0" applyNumberFormat="1" applyFont="1" applyFill="1" applyBorder="1" applyAlignment="1">
      <alignment horizontal="center" vertical="center"/>
    </xf>
    <xf numFmtId="0" fontId="0" fillId="0" borderId="0" xfId="0" applyAlignment="1">
      <alignment horizontal="left" indent="1"/>
    </xf>
    <xf numFmtId="0" fontId="8" fillId="0" borderId="0" xfId="0" applyFont="1" applyAlignment="1">
      <alignment horizontal="left" vertical="center" indent="1"/>
    </xf>
    <xf numFmtId="0" fontId="0" fillId="0" borderId="0" xfId="0" applyAlignment="1">
      <alignment horizontal="center"/>
    </xf>
    <xf numFmtId="0" fontId="0" fillId="0" borderId="0" xfId="0" applyAlignment="1">
      <alignment horizontal="right"/>
    </xf>
    <xf numFmtId="1" fontId="0" fillId="0" borderId="0" xfId="0" applyNumberFormat="1" applyAlignment="1">
      <alignment horizontal="center"/>
    </xf>
    <xf numFmtId="0" fontId="0" fillId="0" borderId="0" xfId="0" applyAlignment="1">
      <alignment wrapText="1"/>
    </xf>
    <xf numFmtId="1" fontId="0" fillId="0" borderId="0" xfId="0" applyNumberFormat="1" applyAlignment="1">
      <alignment horizontal="center" vertical="top"/>
    </xf>
    <xf numFmtId="1" fontId="8" fillId="0" borderId="0" xfId="0" applyNumberFormat="1" applyFont="1" applyAlignment="1">
      <alignment horizontal="center" vertical="top"/>
    </xf>
    <xf numFmtId="178" fontId="0" fillId="0" borderId="0" xfId="0" applyNumberFormat="1"/>
    <xf numFmtId="14" fontId="0" fillId="0" borderId="0" xfId="0" applyNumberFormat="1"/>
    <xf numFmtId="0" fontId="0" fillId="53" borderId="0" xfId="0" applyFill="1"/>
    <xf numFmtId="256" fontId="0" fillId="0" borderId="0" xfId="0" applyNumberFormat="1"/>
    <xf numFmtId="0" fontId="30" fillId="47" borderId="0" xfId="90" applyFont="1" applyFill="1" applyAlignment="1">
      <alignment horizontal="center"/>
    </xf>
    <xf numFmtId="0" fontId="0" fillId="42" borderId="0" xfId="0" applyFill="1" applyAlignment="1">
      <alignment horizontal="center" vertical="top"/>
    </xf>
    <xf numFmtId="0" fontId="27" fillId="0" borderId="0" xfId="0" applyFont="1" applyAlignment="1">
      <alignment horizontal="center"/>
    </xf>
    <xf numFmtId="0" fontId="10" fillId="37" borderId="71" xfId="75" applyFont="1" applyFill="1" applyBorder="1" applyAlignment="1">
      <alignment horizontal="center" vertical="top"/>
    </xf>
    <xf numFmtId="0" fontId="10" fillId="37" borderId="72" xfId="75" applyFont="1" applyFill="1" applyBorder="1" applyAlignment="1">
      <alignment horizontal="center" vertical="top"/>
    </xf>
    <xf numFmtId="178" fontId="0" fillId="0" borderId="0" xfId="0" applyNumberFormat="1" applyAlignment="1" applyProtection="1">
      <alignment horizontal="center" vertical="center"/>
      <protection locked="0"/>
    </xf>
    <xf numFmtId="178" fontId="0" fillId="0" borderId="0" xfId="0" applyNumberFormat="1" applyAlignment="1">
      <alignment horizontal="left" vertical="top"/>
    </xf>
    <xf numFmtId="175" fontId="0" fillId="52" borderId="71" xfId="0" applyNumberFormat="1" applyFill="1" applyBorder="1"/>
    <xf numFmtId="175" fontId="0" fillId="52" borderId="72" xfId="0" applyNumberFormat="1" applyFill="1" applyBorder="1"/>
    <xf numFmtId="0" fontId="8" fillId="0" borderId="0" xfId="0" applyFont="1" applyAlignment="1" applyProtection="1">
      <alignment horizontal="center" vertical="center"/>
      <protection locked="0"/>
    </xf>
    <xf numFmtId="175" fontId="0" fillId="52" borderId="71" xfId="0" applyNumberFormat="1" applyFill="1" applyBorder="1" applyAlignment="1">
      <alignment horizontal="right"/>
    </xf>
    <xf numFmtId="175" fontId="0" fillId="52" borderId="72" xfId="0" applyNumberFormat="1" applyFill="1" applyBorder="1" applyAlignment="1">
      <alignment horizontal="right"/>
    </xf>
    <xf numFmtId="256" fontId="0" fillId="0" borderId="0" xfId="0" applyNumberFormat="1" applyAlignment="1" applyProtection="1">
      <alignment horizontal="center" vertical="center"/>
      <protection locked="0"/>
    </xf>
    <xf numFmtId="256" fontId="0" fillId="0" borderId="0" xfId="0" applyNumberFormat="1" applyAlignment="1">
      <alignment horizontal="left" vertical="top"/>
    </xf>
    <xf numFmtId="177" fontId="10" fillId="39" borderId="85" xfId="1" applyNumberFormat="1" applyFont="1" applyFill="1" applyBorder="1" applyProtection="1"/>
    <xf numFmtId="177" fontId="10" fillId="39" borderId="81" xfId="1" applyNumberFormat="1" applyFont="1" applyFill="1" applyBorder="1" applyProtection="1"/>
    <xf numFmtId="177" fontId="10" fillId="39" borderId="82" xfId="1" applyNumberFormat="1" applyFont="1" applyFill="1" applyBorder="1" applyProtection="1"/>
    <xf numFmtId="177" fontId="10" fillId="39" borderId="86" xfId="1" applyNumberFormat="1" applyFont="1" applyFill="1" applyBorder="1" applyProtection="1"/>
    <xf numFmtId="177" fontId="10" fillId="39" borderId="87" xfId="1" applyNumberFormat="1" applyFont="1" applyFill="1" applyBorder="1" applyProtection="1"/>
    <xf numFmtId="0" fontId="32" fillId="47" borderId="90" xfId="75" applyFont="1" applyFill="1" applyBorder="1"/>
    <xf numFmtId="0" fontId="244" fillId="0" borderId="0" xfId="90" applyFont="1" applyAlignment="1">
      <alignment horizontal="left"/>
    </xf>
    <xf numFmtId="0" fontId="245" fillId="0" borderId="0" xfId="0" applyFont="1"/>
    <xf numFmtId="0" fontId="246" fillId="0" borderId="0" xfId="75" applyFont="1"/>
    <xf numFmtId="0" fontId="29" fillId="0" borderId="0" xfId="0" applyFont="1" applyAlignment="1">
      <alignment horizontal="left" vertical="top"/>
    </xf>
    <xf numFmtId="1" fontId="8" fillId="2" borderId="73" xfId="0" applyNumberFormat="1" applyFont="1" applyFill="1" applyBorder="1" applyAlignment="1">
      <alignment horizontal="center" vertical="center" wrapText="1"/>
    </xf>
    <xf numFmtId="0" fontId="34" fillId="0" borderId="0" xfId="92" applyAlignment="1">
      <alignment horizontal="left" indent="1"/>
    </xf>
    <xf numFmtId="0" fontId="0" fillId="42" borderId="63" xfId="0" applyFill="1" applyBorder="1" applyAlignment="1">
      <alignment horizontal="left" vertical="top" wrapText="1"/>
    </xf>
    <xf numFmtId="0" fontId="0" fillId="42" borderId="66" xfId="0" applyFill="1" applyBorder="1" applyAlignment="1">
      <alignment horizontal="left" vertical="top" wrapText="1"/>
    </xf>
    <xf numFmtId="0" fontId="0" fillId="116" borderId="0" xfId="0" applyFill="1" applyAlignment="1">
      <alignment horizontal="center" vertical="center"/>
    </xf>
    <xf numFmtId="0" fontId="0" fillId="116" borderId="0" xfId="0" applyFill="1" applyAlignment="1">
      <alignment horizontal="center" vertical="top"/>
    </xf>
    <xf numFmtId="0" fontId="29" fillId="0" borderId="0" xfId="0" applyFont="1"/>
    <xf numFmtId="0" fontId="26" fillId="0" borderId="0" xfId="0" applyFont="1" applyAlignment="1">
      <alignment horizontal="center"/>
    </xf>
    <xf numFmtId="0" fontId="0" fillId="0" borderId="76" xfId="0" applyBorder="1" applyAlignment="1">
      <alignment horizontal="left" vertical="center" indent="1"/>
    </xf>
    <xf numFmtId="0" fontId="0" fillId="42" borderId="62" xfId="0" applyFill="1" applyBorder="1" applyAlignment="1">
      <alignment horizontal="left" vertical="center" wrapText="1" indent="1"/>
    </xf>
    <xf numFmtId="0" fontId="34" fillId="42" borderId="62" xfId="92" applyFill="1" applyBorder="1" applyAlignment="1">
      <alignment horizontal="left" vertical="center" wrapText="1" indent="1"/>
    </xf>
    <xf numFmtId="0" fontId="34" fillId="42" borderId="65" xfId="92" applyFill="1" applyBorder="1" applyAlignment="1">
      <alignment horizontal="left" vertical="center" wrapText="1" indent="1"/>
    </xf>
    <xf numFmtId="0" fontId="249" fillId="42" borderId="0" xfId="88" applyFont="1" applyFill="1" applyAlignment="1">
      <alignment horizontal="left" indent="1"/>
    </xf>
    <xf numFmtId="0" fontId="0" fillId="0" borderId="63" xfId="0" applyBorder="1" applyAlignment="1">
      <alignment horizontal="center"/>
    </xf>
    <xf numFmtId="0" fontId="0" fillId="0" borderId="64" xfId="0" applyBorder="1" applyAlignment="1">
      <alignment horizontal="center"/>
    </xf>
    <xf numFmtId="173" fontId="37" fillId="48" borderId="0" xfId="94">
      <alignment vertical="center"/>
    </xf>
    <xf numFmtId="177" fontId="0" fillId="51" borderId="62" xfId="1" applyNumberFormat="1" applyFont="1" applyFill="1" applyBorder="1" applyAlignment="1">
      <alignment horizontal="right"/>
    </xf>
    <xf numFmtId="177" fontId="0" fillId="51" borderId="71" xfId="1" applyNumberFormat="1" applyFont="1" applyFill="1" applyBorder="1" applyAlignment="1">
      <alignment horizontal="right" vertical="top"/>
    </xf>
    <xf numFmtId="177" fontId="10" fillId="38" borderId="100" xfId="1" applyNumberFormat="1" applyFont="1" applyFill="1" applyBorder="1" applyProtection="1"/>
    <xf numFmtId="14" fontId="10" fillId="42" borderId="0" xfId="2" applyNumberFormat="1" applyFont="1" applyFill="1" applyBorder="1" applyAlignment="1">
      <alignment horizontal="center" vertical="center"/>
    </xf>
    <xf numFmtId="0" fontId="248" fillId="116" borderId="0" xfId="0" applyFont="1" applyFill="1" applyAlignment="1">
      <alignment horizontal="left" vertical="top"/>
    </xf>
    <xf numFmtId="0" fontId="248" fillId="116" borderId="0" xfId="0" applyFont="1" applyFill="1" applyAlignment="1">
      <alignment horizontal="left" vertical="top" indent="1"/>
    </xf>
    <xf numFmtId="173" fontId="10" fillId="0" borderId="0" xfId="0" applyNumberFormat="1" applyFont="1" applyAlignment="1">
      <alignment horizontal="left" vertical="center" indent="1"/>
    </xf>
    <xf numFmtId="0" fontId="10" fillId="0" borderId="0" xfId="85" applyFont="1" applyAlignment="1">
      <alignment horizontal="left" vertical="center" wrapText="1" indent="1"/>
    </xf>
    <xf numFmtId="0" fontId="248" fillId="0" borderId="0" xfId="0" applyFont="1" applyAlignment="1">
      <alignment horizontal="left" vertical="top"/>
    </xf>
    <xf numFmtId="177" fontId="0" fillId="51" borderId="63" xfId="1" applyNumberFormat="1" applyFont="1" applyFill="1" applyBorder="1" applyAlignment="1">
      <alignment horizontal="right"/>
    </xf>
    <xf numFmtId="177" fontId="0" fillId="51" borderId="68" xfId="1" applyNumberFormat="1" applyFont="1" applyFill="1" applyBorder="1" applyAlignment="1">
      <alignment horizontal="right"/>
    </xf>
    <xf numFmtId="177" fontId="0" fillId="51" borderId="69" xfId="1" applyNumberFormat="1" applyFont="1" applyFill="1" applyBorder="1" applyAlignment="1">
      <alignment horizontal="right"/>
    </xf>
    <xf numFmtId="177" fontId="0" fillId="51" borderId="72" xfId="1" applyNumberFormat="1" applyFont="1" applyFill="1" applyBorder="1" applyAlignment="1">
      <alignment horizontal="right" vertical="top"/>
    </xf>
    <xf numFmtId="0" fontId="0" fillId="0" borderId="71" xfId="0" applyBorder="1" applyAlignment="1">
      <alignment horizontal="center" vertical="top"/>
    </xf>
    <xf numFmtId="0" fontId="0" fillId="0" borderId="72" xfId="0" applyBorder="1" applyAlignment="1">
      <alignment horizontal="center" vertical="top"/>
    </xf>
    <xf numFmtId="0" fontId="8" fillId="0" borderId="0" xfId="0" applyFont="1" applyAlignment="1">
      <alignment horizontal="left" vertical="top" indent="1"/>
    </xf>
    <xf numFmtId="10" fontId="10" fillId="52" borderId="71" xfId="2" applyNumberFormat="1" applyFont="1" applyFill="1" applyBorder="1"/>
    <xf numFmtId="10" fontId="10" fillId="52" borderId="72" xfId="2" applyNumberFormat="1" applyFont="1" applyFill="1" applyBorder="1"/>
    <xf numFmtId="10" fontId="0" fillId="51" borderId="59" xfId="0" applyNumberFormat="1" applyFill="1" applyBorder="1" applyAlignment="1">
      <alignment horizontal="right" vertical="top"/>
    </xf>
    <xf numFmtId="175" fontId="0" fillId="51" borderId="65" xfId="0" applyNumberFormat="1" applyFill="1" applyBorder="1" applyAlignment="1">
      <alignment horizontal="right" vertical="top"/>
    </xf>
    <xf numFmtId="0" fontId="248" fillId="0" borderId="0" xfId="0" applyFont="1" applyAlignment="1">
      <alignment horizontal="left" vertical="top" indent="1"/>
    </xf>
    <xf numFmtId="10" fontId="0" fillId="0" borderId="64" xfId="0" applyNumberFormat="1" applyBorder="1"/>
    <xf numFmtId="3" fontId="11" fillId="0" borderId="0" xfId="89" applyNumberFormat="1" applyFont="1" applyAlignment="1">
      <alignment horizontal="left" indent="1"/>
    </xf>
    <xf numFmtId="0" fontId="0" fillId="53" borderId="0" xfId="0" applyFill="1" applyAlignment="1">
      <alignment horizontal="left" indent="1"/>
    </xf>
    <xf numFmtId="0" fontId="248" fillId="53" borderId="0" xfId="0" applyFont="1" applyFill="1" applyAlignment="1">
      <alignment horizontal="center"/>
    </xf>
    <xf numFmtId="0" fontId="0" fillId="53" borderId="0" xfId="0" applyFill="1" applyAlignment="1">
      <alignment horizontal="left"/>
    </xf>
    <xf numFmtId="0" fontId="0" fillId="53" borderId="0" xfId="0" applyFill="1" applyAlignment="1">
      <alignment horizontal="center"/>
    </xf>
    <xf numFmtId="0" fontId="0" fillId="0" borderId="0" xfId="0" applyAlignment="1">
      <alignment horizontal="left"/>
    </xf>
    <xf numFmtId="0" fontId="248" fillId="116" borderId="0" xfId="0" applyFont="1" applyFill="1"/>
    <xf numFmtId="0" fontId="248" fillId="116" borderId="0" xfId="0" applyFont="1" applyFill="1" applyAlignment="1">
      <alignment horizontal="left" indent="1"/>
    </xf>
    <xf numFmtId="0" fontId="248" fillId="116" borderId="0" xfId="0" applyFont="1" applyFill="1" applyAlignment="1">
      <alignment wrapText="1"/>
    </xf>
    <xf numFmtId="0" fontId="11" fillId="0" borderId="0" xfId="77" applyNumberFormat="1" applyFont="1" applyFill="1" applyBorder="1" applyAlignment="1" applyProtection="1">
      <alignment horizontal="left" indent="1"/>
    </xf>
    <xf numFmtId="0" fontId="10" fillId="0" borderId="0" xfId="77" applyNumberFormat="1" applyFont="1" applyFill="1" applyBorder="1" applyAlignment="1" applyProtection="1">
      <alignment horizontal="center"/>
    </xf>
    <xf numFmtId="175" fontId="11" fillId="0" borderId="0" xfId="77" applyNumberFormat="1" applyFont="1" applyFill="1" applyBorder="1" applyProtection="1"/>
    <xf numFmtId="256" fontId="11" fillId="0" borderId="0" xfId="2" applyNumberFormat="1" applyFont="1" applyFill="1" applyBorder="1"/>
    <xf numFmtId="173" fontId="11" fillId="0" borderId="0" xfId="0" applyNumberFormat="1" applyFont="1" applyAlignment="1">
      <alignment horizontal="left" vertical="center"/>
    </xf>
    <xf numFmtId="9" fontId="10" fillId="52" borderId="65" xfId="75" applyNumberFormat="1" applyFont="1" applyFill="1" applyBorder="1" applyAlignment="1">
      <alignment vertical="top"/>
    </xf>
    <xf numFmtId="9" fontId="10" fillId="52" borderId="66" xfId="75" applyNumberFormat="1" applyFont="1" applyFill="1" applyBorder="1" applyAlignment="1">
      <alignment vertical="top"/>
    </xf>
    <xf numFmtId="183" fontId="0" fillId="51" borderId="71" xfId="1" applyNumberFormat="1" applyFont="1" applyFill="1" applyBorder="1" applyAlignment="1">
      <alignment horizontal="right"/>
    </xf>
    <xf numFmtId="175" fontId="10" fillId="38" borderId="59" xfId="77" applyNumberFormat="1" applyFont="1" applyFill="1" applyBorder="1" applyProtection="1"/>
    <xf numFmtId="175" fontId="10" fillId="38" borderId="61" xfId="77" applyNumberFormat="1" applyFont="1" applyFill="1" applyBorder="1" applyProtection="1"/>
    <xf numFmtId="177" fontId="10" fillId="38" borderId="68" xfId="1" applyNumberFormat="1" applyFont="1" applyFill="1" applyBorder="1" applyProtection="1"/>
    <xf numFmtId="177" fontId="10" fillId="38" borderId="69" xfId="1" applyNumberFormat="1" applyFont="1" applyFill="1" applyBorder="1" applyProtection="1"/>
    <xf numFmtId="0" fontId="11" fillId="53" borderId="0" xfId="77" applyNumberFormat="1" applyFont="1" applyFill="1" applyBorder="1" applyAlignment="1" applyProtection="1">
      <alignment horizontal="left" indent="1"/>
    </xf>
    <xf numFmtId="0" fontId="10" fillId="53" borderId="0" xfId="77" applyNumberFormat="1" applyFont="1" applyFill="1" applyBorder="1" applyAlignment="1" applyProtection="1">
      <alignment horizontal="center"/>
    </xf>
    <xf numFmtId="175" fontId="11" fillId="53" borderId="0" xfId="77" applyNumberFormat="1" applyFont="1" applyFill="1" applyBorder="1" applyProtection="1"/>
    <xf numFmtId="175" fontId="8" fillId="53" borderId="0" xfId="0" applyNumberFormat="1" applyFont="1" applyFill="1"/>
    <xf numFmtId="0" fontId="11" fillId="116" borderId="0" xfId="77" applyNumberFormat="1" applyFont="1" applyFill="1" applyBorder="1" applyAlignment="1" applyProtection="1">
      <alignment horizontal="left" indent="1"/>
    </xf>
    <xf numFmtId="0" fontId="10" fillId="116" borderId="0" xfId="77" applyNumberFormat="1" applyFont="1" applyFill="1" applyBorder="1" applyAlignment="1" applyProtection="1">
      <alignment horizontal="left" indent="1"/>
    </xf>
    <xf numFmtId="0" fontId="8" fillId="53" borderId="0" xfId="0"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25" fillId="0" borderId="0" xfId="75" applyFont="1" applyAlignment="1">
      <alignment horizontal="left" indent="1"/>
    </xf>
    <xf numFmtId="0" fontId="25" fillId="0" borderId="0" xfId="75" applyFont="1" applyAlignment="1">
      <alignment horizontal="left" vertical="center" indent="1"/>
    </xf>
    <xf numFmtId="0" fontId="10" fillId="42" borderId="0" xfId="7" applyFont="1" applyFill="1" applyAlignment="1">
      <alignment horizontal="left" indent="1"/>
    </xf>
    <xf numFmtId="178" fontId="0" fillId="117" borderId="63" xfId="0" applyNumberFormat="1" applyFill="1" applyBorder="1" applyAlignment="1">
      <alignment horizontal="right" indent="1"/>
    </xf>
    <xf numFmtId="0" fontId="0" fillId="54" borderId="102" xfId="0" applyFill="1" applyBorder="1" applyAlignment="1">
      <alignment horizontal="right" vertical="top"/>
    </xf>
    <xf numFmtId="177" fontId="10" fillId="38" borderId="78" xfId="1" applyNumberFormat="1" applyFont="1" applyFill="1" applyBorder="1" applyProtection="1"/>
    <xf numFmtId="177" fontId="10" fillId="38" borderId="102" xfId="1" applyNumberFormat="1" applyFont="1" applyFill="1" applyBorder="1" applyProtection="1"/>
    <xf numFmtId="177" fontId="10" fillId="38" borderId="103" xfId="1" applyNumberFormat="1" applyFont="1" applyFill="1" applyBorder="1" applyProtection="1"/>
    <xf numFmtId="177" fontId="10" fillId="38" borderId="89" xfId="1" applyNumberFormat="1" applyFont="1" applyFill="1" applyBorder="1" applyProtection="1"/>
    <xf numFmtId="177" fontId="10" fillId="38" borderId="105" xfId="1" applyNumberFormat="1" applyFont="1" applyFill="1" applyBorder="1" applyProtection="1"/>
    <xf numFmtId="177" fontId="10" fillId="3" borderId="62" xfId="2" applyNumberFormat="1" applyFont="1" applyFill="1" applyBorder="1"/>
    <xf numFmtId="177" fontId="0" fillId="3" borderId="59" xfId="0" applyNumberFormat="1" applyFill="1" applyBorder="1" applyAlignment="1">
      <alignment horizontal="right" vertical="top"/>
    </xf>
    <xf numFmtId="177" fontId="0" fillId="3" borderId="60" xfId="0" applyNumberFormat="1" applyFill="1" applyBorder="1" applyAlignment="1">
      <alignment horizontal="right" vertical="top"/>
    </xf>
    <xf numFmtId="177" fontId="0" fillId="3" borderId="63" xfId="0" applyNumberFormat="1" applyFill="1" applyBorder="1" applyAlignment="1">
      <alignment horizontal="right" vertical="top"/>
    </xf>
    <xf numFmtId="177" fontId="8" fillId="52" borderId="71" xfId="0" applyNumberFormat="1" applyFont="1" applyFill="1" applyBorder="1" applyAlignment="1">
      <alignment horizontal="right"/>
    </xf>
    <xf numFmtId="177" fontId="8" fillId="52" borderId="71" xfId="0" applyNumberFormat="1" applyFont="1" applyFill="1" applyBorder="1" applyAlignment="1">
      <alignment horizontal="right" vertical="top"/>
    </xf>
    <xf numFmtId="177" fontId="8" fillId="52" borderId="72" xfId="0" applyNumberFormat="1" applyFont="1" applyFill="1" applyBorder="1" applyAlignment="1">
      <alignment horizontal="right" vertical="top"/>
    </xf>
    <xf numFmtId="177" fontId="0" fillId="3" borderId="66" xfId="0" applyNumberFormat="1" applyFill="1" applyBorder="1" applyAlignment="1">
      <alignment horizontal="right" vertical="top"/>
    </xf>
    <xf numFmtId="177" fontId="8" fillId="52" borderId="59" xfId="0" applyNumberFormat="1" applyFont="1" applyFill="1" applyBorder="1" applyAlignment="1">
      <alignment horizontal="right" vertical="top"/>
    </xf>
    <xf numFmtId="177" fontId="0" fillId="54" borderId="71" xfId="0" applyNumberFormat="1" applyFill="1" applyBorder="1" applyAlignment="1">
      <alignment horizontal="right" vertical="top"/>
    </xf>
    <xf numFmtId="177" fontId="0" fillId="52" borderId="71" xfId="0" applyNumberFormat="1" applyFill="1" applyBorder="1" applyAlignment="1">
      <alignment horizontal="right" vertical="top"/>
    </xf>
    <xf numFmtId="177" fontId="0" fillId="52" borderId="72" xfId="0" applyNumberFormat="1" applyFill="1" applyBorder="1" applyAlignment="1">
      <alignment horizontal="right" vertical="top"/>
    </xf>
    <xf numFmtId="177" fontId="10" fillId="52" borderId="100" xfId="2" applyNumberFormat="1" applyFont="1" applyFill="1" applyBorder="1" applyAlignment="1">
      <alignment vertical="center"/>
    </xf>
    <xf numFmtId="177" fontId="10" fillId="52" borderId="78" xfId="2" applyNumberFormat="1" applyFont="1" applyFill="1" applyBorder="1" applyAlignment="1">
      <alignment vertical="center"/>
    </xf>
    <xf numFmtId="177" fontId="10" fillId="52" borderId="101" xfId="2" applyNumberFormat="1" applyFont="1" applyFill="1" applyBorder="1" applyAlignment="1">
      <alignment vertical="center"/>
    </xf>
    <xf numFmtId="177" fontId="10" fillId="52" borderId="106" xfId="2" applyNumberFormat="1" applyFont="1" applyFill="1" applyBorder="1" applyAlignment="1">
      <alignment vertical="center"/>
    </xf>
    <xf numFmtId="177" fontId="0" fillId="52" borderId="74" xfId="0" applyNumberFormat="1" applyFill="1" applyBorder="1" applyAlignment="1">
      <alignment horizontal="right" vertical="top"/>
    </xf>
    <xf numFmtId="177" fontId="0" fillId="52" borderId="75" xfId="0" applyNumberFormat="1" applyFill="1" applyBorder="1" applyAlignment="1">
      <alignment horizontal="right" vertical="top"/>
    </xf>
    <xf numFmtId="177" fontId="0" fillId="52" borderId="59" xfId="0" applyNumberFormat="1" applyFill="1" applyBorder="1" applyAlignment="1">
      <alignment horizontal="right" vertical="top"/>
    </xf>
    <xf numFmtId="177" fontId="10" fillId="52" borderId="71" xfId="2" applyNumberFormat="1" applyFont="1" applyFill="1" applyBorder="1" applyAlignment="1">
      <alignment horizontal="right" vertical="center"/>
    </xf>
    <xf numFmtId="177" fontId="10" fillId="52" borderId="73" xfId="2" applyNumberFormat="1" applyFont="1" applyFill="1" applyBorder="1" applyAlignment="1">
      <alignment horizontal="right" vertical="center"/>
    </xf>
    <xf numFmtId="177" fontId="11" fillId="52" borderId="71" xfId="2" applyNumberFormat="1" applyFont="1" applyFill="1" applyBorder="1" applyAlignment="1">
      <alignment horizontal="right" vertical="center"/>
    </xf>
    <xf numFmtId="177" fontId="11" fillId="52" borderId="73" xfId="2" applyNumberFormat="1" applyFont="1" applyFill="1" applyBorder="1" applyAlignment="1">
      <alignment horizontal="right" vertical="center"/>
    </xf>
    <xf numFmtId="177" fontId="10" fillId="51" borderId="59" xfId="1" applyNumberFormat="1" applyFont="1" applyFill="1" applyBorder="1"/>
    <xf numFmtId="177" fontId="10" fillId="51" borderId="60" xfId="1" applyNumberFormat="1" applyFont="1" applyFill="1" applyBorder="1"/>
    <xf numFmtId="177" fontId="10" fillId="51" borderId="62" xfId="1" applyNumberFormat="1" applyFont="1" applyFill="1" applyBorder="1"/>
    <xf numFmtId="177" fontId="10" fillId="51" borderId="63" xfId="1" applyNumberFormat="1" applyFont="1" applyFill="1" applyBorder="1"/>
    <xf numFmtId="177" fontId="8" fillId="52" borderId="71" xfId="1" applyNumberFormat="1" applyFont="1" applyFill="1" applyBorder="1" applyAlignment="1">
      <alignment horizontal="right"/>
    </xf>
    <xf numFmtId="177" fontId="0" fillId="52" borderId="74" xfId="0" applyNumberFormat="1" applyFill="1" applyBorder="1"/>
    <xf numFmtId="177" fontId="0" fillId="52" borderId="75" xfId="0" applyNumberFormat="1" applyFill="1" applyBorder="1"/>
    <xf numFmtId="177" fontId="10" fillId="52" borderId="59" xfId="1" applyNumberFormat="1" applyFont="1" applyFill="1" applyBorder="1" applyProtection="1"/>
    <xf numFmtId="177" fontId="0" fillId="52" borderId="59" xfId="0" applyNumberFormat="1" applyFill="1" applyBorder="1"/>
    <xf numFmtId="177" fontId="0" fillId="52" borderId="60" xfId="0" applyNumberFormat="1" applyFill="1" applyBorder="1"/>
    <xf numFmtId="177" fontId="11" fillId="52" borderId="71" xfId="2" applyNumberFormat="1" applyFont="1" applyFill="1" applyBorder="1"/>
    <xf numFmtId="177" fontId="0" fillId="52" borderId="71" xfId="0" applyNumberFormat="1" applyFill="1" applyBorder="1" applyAlignment="1">
      <alignment horizontal="right" vertical="center"/>
    </xf>
    <xf numFmtId="177" fontId="0" fillId="0" borderId="0" xfId="0" applyNumberFormat="1"/>
    <xf numFmtId="177" fontId="0" fillId="0" borderId="0" xfId="0" applyNumberFormat="1" applyAlignment="1">
      <alignment horizontal="right"/>
    </xf>
    <xf numFmtId="0" fontId="8" fillId="0" borderId="0" xfId="0" applyFont="1" applyAlignment="1" applyProtection="1">
      <alignment horizontal="left" indent="1"/>
      <protection locked="0"/>
    </xf>
    <xf numFmtId="0" fontId="8" fillId="53" borderId="0" xfId="0" applyFont="1" applyFill="1" applyAlignment="1">
      <alignment horizontal="left" vertical="top" indent="1"/>
    </xf>
    <xf numFmtId="0" fontId="0" fillId="0" borderId="0" xfId="0" applyAlignment="1" applyProtection="1">
      <alignment horizontal="left" indent="1"/>
      <protection locked="0"/>
    </xf>
    <xf numFmtId="0" fontId="8" fillId="0" borderId="0" xfId="0" applyFont="1" applyAlignment="1">
      <alignment horizontal="left" indent="1"/>
    </xf>
    <xf numFmtId="0" fontId="11" fillId="53" borderId="0" xfId="85" applyFont="1" applyFill="1" applyAlignment="1">
      <alignment horizontal="left" vertical="center" wrapText="1"/>
    </xf>
    <xf numFmtId="0" fontId="10" fillId="53" borderId="0" xfId="85" applyFont="1" applyFill="1" applyAlignment="1">
      <alignment horizontal="left" vertical="center" wrapText="1"/>
    </xf>
    <xf numFmtId="0" fontId="0" fillId="0" borderId="0" xfId="0" applyAlignment="1">
      <alignment horizontal="left" vertical="center" wrapText="1" indent="1"/>
    </xf>
    <xf numFmtId="0" fontId="248" fillId="0" borderId="0" xfId="0" applyFont="1" applyAlignment="1">
      <alignment horizontal="left" indent="1"/>
    </xf>
    <xf numFmtId="0" fontId="248" fillId="0" borderId="0" xfId="0" applyFont="1" applyAlignment="1">
      <alignment wrapText="1"/>
    </xf>
    <xf numFmtId="0" fontId="248" fillId="0" borderId="0" xfId="0" applyFont="1"/>
    <xf numFmtId="3" fontId="0" fillId="0" borderId="0" xfId="0" applyNumberFormat="1"/>
    <xf numFmtId="177" fontId="10" fillId="0" borderId="0" xfId="1" applyNumberFormat="1" applyFont="1" applyFill="1" applyBorder="1" applyProtection="1"/>
    <xf numFmtId="0" fontId="0" fillId="52" borderId="78" xfId="0" applyFill="1" applyBorder="1" applyAlignment="1">
      <alignment horizontal="left" vertical="center" wrapText="1" indent="1"/>
    </xf>
    <xf numFmtId="177" fontId="10" fillId="0" borderId="0" xfId="2" applyNumberFormat="1" applyFont="1" applyFill="1" applyBorder="1"/>
    <xf numFmtId="0" fontId="8" fillId="53" borderId="0" xfId="0" applyFont="1" applyFill="1" applyAlignment="1">
      <alignment horizontal="left"/>
    </xf>
    <xf numFmtId="0" fontId="0" fillId="53" borderId="0" xfId="0" applyFill="1" applyAlignment="1">
      <alignment horizontal="center" vertical="center" wrapText="1"/>
    </xf>
    <xf numFmtId="0" fontId="8" fillId="0" borderId="0" xfId="0" applyFont="1" applyAlignment="1">
      <alignment horizontal="left"/>
    </xf>
    <xf numFmtId="177" fontId="10" fillId="0" borderId="0" xfId="2" applyNumberFormat="1" applyFont="1" applyFill="1" applyBorder="1" applyAlignment="1">
      <alignment horizontal="right" vertical="center"/>
    </xf>
    <xf numFmtId="0" fontId="8" fillId="53" borderId="0" xfId="0" applyFont="1" applyFill="1"/>
    <xf numFmtId="177" fontId="0" fillId="0" borderId="0" xfId="1" applyNumberFormat="1" applyFont="1" applyFill="1" applyBorder="1" applyAlignment="1">
      <alignment horizontal="right"/>
    </xf>
    <xf numFmtId="177" fontId="0" fillId="0" borderId="0" xfId="1" applyNumberFormat="1" applyFont="1" applyFill="1" applyBorder="1" applyAlignment="1"/>
    <xf numFmtId="0" fontId="8" fillId="53" borderId="0" xfId="0" applyFont="1" applyFill="1" applyAlignment="1">
      <alignment horizontal="left" indent="1"/>
    </xf>
    <xf numFmtId="177" fontId="10" fillId="3" borderId="59" xfId="1" applyNumberFormat="1" applyFont="1" applyFill="1" applyBorder="1" applyProtection="1"/>
    <xf numFmtId="15" fontId="244" fillId="46" borderId="105" xfId="48236" applyNumberFormat="1" applyFont="1" applyFill="1" applyBorder="1" applyAlignment="1">
      <alignment horizontal="center" vertical="top" wrapText="1"/>
    </xf>
    <xf numFmtId="0" fontId="244" fillId="46" borderId="105" xfId="48236" applyFont="1" applyFill="1" applyBorder="1" applyAlignment="1">
      <alignment vertical="top" wrapText="1"/>
    </xf>
    <xf numFmtId="0" fontId="244" fillId="46" borderId="105" xfId="48236" applyFont="1" applyFill="1" applyBorder="1" applyAlignment="1">
      <alignment horizontal="center" vertical="top" wrapText="1"/>
    </xf>
    <xf numFmtId="0" fontId="30" fillId="42" borderId="0" xfId="90" applyFont="1" applyFill="1" applyAlignment="1">
      <alignment horizontal="left"/>
    </xf>
    <xf numFmtId="0" fontId="0" fillId="42" borderId="63" xfId="0" applyFill="1" applyBorder="1" applyAlignment="1">
      <alignment horizontal="left" vertical="top" wrapText="1" indent="1"/>
    </xf>
    <xf numFmtId="0" fontId="0" fillId="42" borderId="66" xfId="0" applyFill="1" applyBorder="1" applyAlignment="1">
      <alignment horizontal="left" vertical="top" wrapText="1" indent="1"/>
    </xf>
    <xf numFmtId="0" fontId="0" fillId="0" borderId="84" xfId="0" applyBorder="1" applyAlignment="1">
      <alignment horizontal="left" vertical="top" wrapText="1" indent="1"/>
    </xf>
    <xf numFmtId="0" fontId="10" fillId="0" borderId="0" xfId="7" applyFont="1" applyAlignment="1">
      <alignment horizontal="left" vertical="center" wrapText="1" indent="1"/>
    </xf>
    <xf numFmtId="0" fontId="0" fillId="0" borderId="84" xfId="0" applyBorder="1" applyAlignment="1">
      <alignment vertical="center" wrapText="1"/>
    </xf>
    <xf numFmtId="173" fontId="11" fillId="0" borderId="0" xfId="0" applyNumberFormat="1" applyFont="1" applyAlignment="1">
      <alignment horizontal="left" vertical="center" indent="1"/>
    </xf>
    <xf numFmtId="173" fontId="10" fillId="42" borderId="0" xfId="0" applyNumberFormat="1" applyFont="1" applyFill="1" applyAlignment="1">
      <alignment horizontal="left" vertical="center" indent="1"/>
    </xf>
    <xf numFmtId="0" fontId="0" fillId="42" borderId="0" xfId="0" applyFill="1" applyAlignment="1" applyProtection="1">
      <alignment horizontal="center" vertical="center"/>
      <protection locked="0"/>
    </xf>
    <xf numFmtId="0" fontId="0" fillId="42" borderId="63" xfId="0" quotePrefix="1" applyFill="1" applyBorder="1" applyAlignment="1">
      <alignment horizontal="left" vertical="top" wrapText="1"/>
    </xf>
    <xf numFmtId="0" fontId="0" fillId="42" borderId="63" xfId="0" quotePrefix="1" applyFill="1" applyBorder="1" applyAlignment="1">
      <alignment horizontal="left" vertical="top" wrapText="1" indent="1"/>
    </xf>
    <xf numFmtId="177" fontId="0" fillId="51" borderId="71" xfId="0" applyNumberFormat="1" applyFill="1" applyBorder="1"/>
    <xf numFmtId="175" fontId="0" fillId="51" borderId="68" xfId="0" applyNumberFormat="1" applyFill="1" applyBorder="1"/>
    <xf numFmtId="175" fontId="0" fillId="51" borderId="69" xfId="0" applyNumberFormat="1" applyFill="1" applyBorder="1"/>
    <xf numFmtId="0" fontId="0" fillId="42" borderId="75" xfId="0" applyFill="1" applyBorder="1" applyAlignment="1">
      <alignment horizontal="left" vertical="top" wrapText="1" indent="1"/>
    </xf>
    <xf numFmtId="0" fontId="0" fillId="42" borderId="75" xfId="0" applyFill="1" applyBorder="1" applyAlignment="1">
      <alignment horizontal="left" vertical="top" wrapText="1"/>
    </xf>
    <xf numFmtId="177" fontId="11" fillId="51" borderId="71" xfId="1" applyNumberFormat="1" applyFont="1" applyFill="1" applyBorder="1" applyProtection="1"/>
    <xf numFmtId="177" fontId="10" fillId="51" borderId="71" xfId="1" applyNumberFormat="1" applyFont="1" applyFill="1" applyBorder="1" applyProtection="1"/>
    <xf numFmtId="175" fontId="10" fillId="116" borderId="71" xfId="1" applyNumberFormat="1" applyFont="1" applyFill="1" applyBorder="1" applyProtection="1"/>
    <xf numFmtId="175" fontId="10" fillId="116" borderId="72" xfId="1" applyNumberFormat="1" applyFont="1" applyFill="1" applyBorder="1" applyProtection="1"/>
    <xf numFmtId="175" fontId="10" fillId="51" borderId="71" xfId="1" applyNumberFormat="1" applyFont="1" applyFill="1" applyBorder="1" applyProtection="1"/>
    <xf numFmtId="175" fontId="10" fillId="51" borderId="72" xfId="1" applyNumberFormat="1" applyFont="1" applyFill="1" applyBorder="1" applyProtection="1"/>
    <xf numFmtId="0" fontId="10" fillId="42" borderId="0" xfId="0" applyFont="1" applyFill="1" applyAlignment="1">
      <alignment horizontal="left" vertical="center" indent="1"/>
    </xf>
    <xf numFmtId="177" fontId="10" fillId="42" borderId="0" xfId="2" applyNumberFormat="1" applyFont="1" applyFill="1" applyBorder="1" applyAlignment="1">
      <alignment horizontal="right" vertical="center"/>
    </xf>
    <xf numFmtId="0" fontId="263" fillId="47" borderId="0" xfId="90" applyFont="1" applyFill="1" applyAlignment="1">
      <alignment horizontal="left"/>
    </xf>
    <xf numFmtId="0" fontId="262" fillId="47" borderId="0" xfId="0" applyFont="1" applyFill="1"/>
    <xf numFmtId="0" fontId="264" fillId="47" borderId="0" xfId="92" applyFont="1" applyFill="1" applyAlignment="1">
      <alignment wrapText="1"/>
    </xf>
    <xf numFmtId="0" fontId="262" fillId="47" borderId="0" xfId="0" applyFont="1" applyFill="1" applyAlignment="1">
      <alignment wrapText="1"/>
    </xf>
    <xf numFmtId="0" fontId="262" fillId="47" borderId="0" xfId="0" applyFont="1" applyFill="1" applyAlignment="1">
      <alignment horizontal="left" indent="1"/>
    </xf>
    <xf numFmtId="0" fontId="263" fillId="47" borderId="10" xfId="90" applyFont="1" applyFill="1" applyBorder="1" applyAlignment="1">
      <alignment horizontal="left"/>
    </xf>
    <xf numFmtId="0" fontId="262" fillId="47" borderId="11" xfId="0" applyFont="1" applyFill="1" applyBorder="1" applyAlignment="1">
      <alignment wrapText="1"/>
    </xf>
    <xf numFmtId="0" fontId="262" fillId="47" borderId="90" xfId="0" applyFont="1" applyFill="1" applyBorder="1" applyAlignment="1">
      <alignment wrapText="1"/>
    </xf>
    <xf numFmtId="0" fontId="263" fillId="47" borderId="0" xfId="90" applyFont="1" applyFill="1" applyAlignment="1">
      <alignment horizontal="left" indent="1"/>
    </xf>
    <xf numFmtId="0" fontId="266" fillId="47" borderId="0" xfId="90" applyFont="1" applyFill="1" applyAlignment="1">
      <alignment horizontal="left"/>
    </xf>
    <xf numFmtId="0" fontId="0" fillId="42" borderId="76" xfId="0" applyFill="1" applyBorder="1" applyAlignment="1">
      <alignment horizontal="left" vertical="center" wrapText="1" indent="1"/>
    </xf>
    <xf numFmtId="0" fontId="0" fillId="42" borderId="84" xfId="0" applyFill="1" applyBorder="1" applyAlignment="1">
      <alignment horizontal="left" vertical="top" wrapText="1" indent="1"/>
    </xf>
    <xf numFmtId="0" fontId="0" fillId="42" borderId="84" xfId="0" applyFill="1" applyBorder="1" applyAlignment="1">
      <alignment horizontal="left" vertical="top" wrapText="1"/>
    </xf>
    <xf numFmtId="0" fontId="0" fillId="42" borderId="117" xfId="0" applyFill="1" applyBorder="1" applyAlignment="1">
      <alignment horizontal="left" vertical="center" wrapText="1" indent="1"/>
    </xf>
    <xf numFmtId="0" fontId="0" fillId="42" borderId="118" xfId="0" applyFill="1" applyBorder="1" applyAlignment="1">
      <alignment horizontal="left" vertical="top" wrapText="1" indent="1"/>
    </xf>
    <xf numFmtId="0" fontId="0" fillId="42" borderId="118" xfId="0" applyFill="1" applyBorder="1" applyAlignment="1">
      <alignment horizontal="left" vertical="top" wrapText="1"/>
    </xf>
    <xf numFmtId="10" fontId="0" fillId="0" borderId="0" xfId="77" applyNumberFormat="1" applyFont="1"/>
    <xf numFmtId="350" fontId="0" fillId="0" borderId="0" xfId="0" applyNumberFormat="1"/>
    <xf numFmtId="177" fontId="0" fillId="131" borderId="59" xfId="0" applyNumberFormat="1" applyFill="1" applyBorder="1" applyAlignment="1">
      <alignment horizontal="right" vertical="top"/>
    </xf>
    <xf numFmtId="177" fontId="0" fillId="3" borderId="0" xfId="0" applyNumberFormat="1" applyFill="1" applyAlignment="1">
      <alignment horizontal="left" vertical="top"/>
    </xf>
    <xf numFmtId="0" fontId="0" fillId="0" borderId="0" xfId="0" applyProtection="1">
      <protection locked="0"/>
    </xf>
    <xf numFmtId="0" fontId="10" fillId="3" borderId="0" xfId="0" applyFont="1" applyFill="1" applyAlignment="1">
      <alignment horizontal="left" vertical="center" indent="1"/>
    </xf>
    <xf numFmtId="0" fontId="0" fillId="0" borderId="0" xfId="0" applyAlignment="1">
      <alignment horizontal="left" wrapText="1" indent="1"/>
    </xf>
    <xf numFmtId="3" fontId="10" fillId="0" borderId="99" xfId="89" applyNumberFormat="1" applyFont="1" applyBorder="1" applyAlignment="1">
      <alignment horizontal="left" indent="1"/>
    </xf>
    <xf numFmtId="348" fontId="0" fillId="0" borderId="63" xfId="0" applyNumberFormat="1" applyBorder="1" applyAlignment="1">
      <alignment horizontal="right" indent="1"/>
    </xf>
    <xf numFmtId="183" fontId="0" fillId="0" borderId="63" xfId="0" applyNumberFormat="1" applyBorder="1" applyAlignment="1">
      <alignment horizontal="right" indent="1"/>
    </xf>
    <xf numFmtId="169" fontId="0" fillId="0" borderId="63" xfId="0" applyNumberFormat="1" applyBorder="1" applyAlignment="1">
      <alignment horizontal="right" indent="1"/>
    </xf>
    <xf numFmtId="3" fontId="10" fillId="0" borderId="97" xfId="89" applyNumberFormat="1" applyFont="1" applyBorder="1" applyAlignment="1">
      <alignment horizontal="left" indent="1"/>
    </xf>
    <xf numFmtId="183" fontId="0" fillId="0" borderId="66" xfId="0" applyNumberFormat="1" applyBorder="1" applyAlignment="1">
      <alignment horizontal="right" indent="1"/>
    </xf>
    <xf numFmtId="177" fontId="0" fillId="0" borderId="63" xfId="0" applyNumberFormat="1" applyBorder="1" applyAlignment="1">
      <alignment horizontal="right" indent="1"/>
    </xf>
    <xf numFmtId="0" fontId="8" fillId="2" borderId="71" xfId="0" applyFont="1" applyFill="1" applyBorder="1" applyAlignment="1">
      <alignment horizontal="center" vertical="center"/>
    </xf>
    <xf numFmtId="2" fontId="10" fillId="132" borderId="0" xfId="7" applyNumberFormat="1" applyFont="1" applyFill="1" applyAlignment="1">
      <alignment horizontal="center"/>
    </xf>
    <xf numFmtId="0" fontId="10" fillId="132" borderId="0" xfId="7" applyFont="1" applyFill="1" applyAlignment="1">
      <alignment horizontal="center"/>
    </xf>
    <xf numFmtId="178" fontId="10" fillId="132" borderId="0" xfId="7" applyNumberFormat="1" applyFont="1" applyFill="1" applyAlignment="1">
      <alignment horizontal="center"/>
    </xf>
    <xf numFmtId="9" fontId="0" fillId="132" borderId="0" xfId="0" applyNumberFormat="1" applyFill="1" applyAlignment="1">
      <alignment horizontal="center"/>
    </xf>
    <xf numFmtId="183" fontId="10" fillId="0" borderId="0" xfId="7" applyNumberFormat="1" applyFont="1" applyAlignment="1">
      <alignment horizontal="center" vertical="center"/>
    </xf>
    <xf numFmtId="0" fontId="10" fillId="42" borderId="0" xfId="7" applyFont="1" applyFill="1" applyAlignment="1">
      <alignment horizontal="center"/>
    </xf>
    <xf numFmtId="10" fontId="10" fillId="0" borderId="0" xfId="7" applyNumberFormat="1" applyFont="1" applyAlignment="1">
      <alignment horizontal="center" vertical="center"/>
    </xf>
    <xf numFmtId="0" fontId="0" fillId="0" borderId="0" xfId="0" applyAlignment="1">
      <alignment horizontal="left" vertical="top" indent="2"/>
    </xf>
    <xf numFmtId="0" fontId="10" fillId="0" borderId="0" xfId="1" applyNumberFormat="1" applyFont="1" applyAlignment="1">
      <alignment horizontal="left" indent="1"/>
    </xf>
    <xf numFmtId="175" fontId="10" fillId="38" borderId="59" xfId="77" applyNumberFormat="1" applyFont="1" applyFill="1" applyBorder="1"/>
    <xf numFmtId="173" fontId="36" fillId="0" borderId="0" xfId="0" applyNumberFormat="1" applyFont="1" applyAlignment="1">
      <alignment vertical="center"/>
    </xf>
    <xf numFmtId="0" fontId="0" fillId="132" borderId="0" xfId="0" applyFill="1"/>
    <xf numFmtId="0" fontId="268" fillId="0" borderId="0" xfId="0" applyFont="1" applyAlignment="1">
      <alignment horizontal="left"/>
    </xf>
    <xf numFmtId="0" fontId="0" fillId="0" borderId="119" xfId="0" applyBorder="1"/>
    <xf numFmtId="0" fontId="0" fillId="132" borderId="119" xfId="0" applyFill="1" applyBorder="1"/>
    <xf numFmtId="178" fontId="0" fillId="52" borderId="60" xfId="0" applyNumberFormat="1" applyFill="1" applyBorder="1" applyAlignment="1">
      <alignment horizontal="right" vertical="top"/>
    </xf>
    <xf numFmtId="0" fontId="0" fillId="3" borderId="0" xfId="0" applyFill="1"/>
    <xf numFmtId="177" fontId="10" fillId="131" borderId="59" xfId="2" applyNumberFormat="1" applyFont="1" applyFill="1" applyBorder="1"/>
    <xf numFmtId="177" fontId="10" fillId="131" borderId="60" xfId="2" applyNumberFormat="1" applyFont="1" applyFill="1" applyBorder="1"/>
    <xf numFmtId="0" fontId="10" fillId="0" borderId="0" xfId="0" applyFont="1"/>
    <xf numFmtId="350" fontId="10" fillId="0" borderId="0" xfId="0" applyNumberFormat="1" applyFont="1"/>
    <xf numFmtId="0" fontId="11" fillId="0" borderId="0" xfId="7" applyFont="1" applyAlignment="1">
      <alignment horizontal="center" vertical="center" wrapText="1"/>
    </xf>
    <xf numFmtId="0" fontId="250" fillId="0" borderId="0" xfId="7" applyFont="1" applyAlignment="1">
      <alignment horizontal="center" vertical="center" wrapText="1"/>
    </xf>
    <xf numFmtId="347" fontId="247" fillId="0" borderId="0" xfId="0" applyNumberFormat="1" applyFont="1" applyAlignment="1">
      <alignment vertical="center"/>
    </xf>
    <xf numFmtId="3"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3" fontId="0" fillId="0" borderId="0" xfId="0" applyNumberFormat="1" applyAlignment="1">
      <alignment vertical="center" wrapText="1"/>
    </xf>
    <xf numFmtId="0" fontId="10" fillId="0" borderId="0" xfId="0" applyFont="1" applyAlignment="1">
      <alignment horizontal="left" vertical="center" indent="1"/>
    </xf>
    <xf numFmtId="170" fontId="0" fillId="0" borderId="0" xfId="1" applyNumberFormat="1" applyFont="1" applyFill="1" applyBorder="1" applyAlignment="1">
      <alignment horizontal="right" vertical="top"/>
    </xf>
    <xf numFmtId="0" fontId="0" fillId="0" borderId="0" xfId="0" quotePrefix="1"/>
    <xf numFmtId="177" fontId="11" fillId="0" borderId="0" xfId="2" applyNumberFormat="1" applyFont="1" applyFill="1" applyBorder="1"/>
    <xf numFmtId="10" fontId="0" fillId="0" borderId="95" xfId="0" applyNumberFormat="1" applyBorder="1"/>
    <xf numFmtId="10" fontId="0" fillId="0" borderId="61" xfId="0" applyNumberFormat="1" applyBorder="1"/>
    <xf numFmtId="10" fontId="0" fillId="0" borderId="93" xfId="0" applyNumberFormat="1" applyBorder="1"/>
    <xf numFmtId="0" fontId="26" fillId="0" borderId="78" xfId="0" applyFont="1" applyBorder="1" applyAlignment="1">
      <alignment horizontal="left" indent="1"/>
    </xf>
    <xf numFmtId="0" fontId="0" fillId="0" borderId="79" xfId="0" applyBorder="1" applyAlignment="1">
      <alignment horizontal="left" indent="1"/>
    </xf>
    <xf numFmtId="0" fontId="0" fillId="0" borderId="106" xfId="0" applyBorder="1" applyAlignment="1">
      <alignment horizontal="left" indent="1"/>
    </xf>
    <xf numFmtId="0" fontId="0" fillId="0" borderId="80" xfId="0" applyBorder="1" applyAlignment="1">
      <alignment horizontal="left" indent="1"/>
    </xf>
    <xf numFmtId="0" fontId="0" fillId="0" borderId="78" xfId="0" applyBorder="1" applyAlignment="1">
      <alignment horizontal="left" indent="1"/>
    </xf>
    <xf numFmtId="0" fontId="0" fillId="0" borderId="11" xfId="0" applyBorder="1"/>
    <xf numFmtId="0" fontId="0" fillId="3" borderId="10" xfId="0" applyFill="1" applyBorder="1" applyAlignment="1">
      <alignment horizontal="left" indent="1"/>
    </xf>
    <xf numFmtId="0" fontId="0" fillId="3" borderId="0" xfId="0" applyFill="1" applyAlignment="1">
      <alignment horizontal="left" indent="1"/>
    </xf>
    <xf numFmtId="0" fontId="0" fillId="3" borderId="0" xfId="0" applyFill="1" applyAlignment="1">
      <alignment horizontal="center" vertical="center"/>
    </xf>
    <xf numFmtId="0" fontId="0" fillId="3" borderId="11" xfId="0" applyFill="1" applyBorder="1"/>
    <xf numFmtId="0" fontId="0" fillId="3" borderId="89" xfId="0" applyFill="1" applyBorder="1" applyAlignment="1">
      <alignment horizontal="left" indent="1"/>
    </xf>
    <xf numFmtId="0" fontId="0" fillId="3" borderId="90" xfId="0" applyFill="1" applyBorder="1"/>
    <xf numFmtId="0" fontId="0" fillId="133" borderId="0" xfId="0" applyFill="1" applyAlignment="1">
      <alignment horizontal="center" vertical="center"/>
    </xf>
    <xf numFmtId="0" fontId="8" fillId="133" borderId="0" xfId="0" applyFont="1" applyFill="1" applyAlignment="1">
      <alignment horizontal="left" vertical="top" indent="1"/>
    </xf>
    <xf numFmtId="183" fontId="0" fillId="0" borderId="0" xfId="0" applyNumberFormat="1"/>
    <xf numFmtId="0" fontId="36" fillId="0" borderId="0" xfId="0" applyFont="1"/>
    <xf numFmtId="0" fontId="0" fillId="0" borderId="0" xfId="0" applyAlignment="1" applyProtection="1">
      <alignment horizontal="center"/>
      <protection locked="0"/>
    </xf>
    <xf numFmtId="0" fontId="8" fillId="133" borderId="0" xfId="0" applyFont="1" applyFill="1" applyAlignment="1">
      <alignment horizontal="left" vertical="center" indent="1"/>
    </xf>
    <xf numFmtId="0" fontId="0" fillId="133" borderId="0" xfId="0" applyFill="1" applyAlignment="1">
      <alignment horizontal="left" vertical="top"/>
    </xf>
    <xf numFmtId="0" fontId="0" fillId="133" borderId="0" xfId="0" applyFill="1"/>
    <xf numFmtId="0" fontId="0" fillId="3" borderId="0" xfId="0" applyFill="1" applyAlignment="1">
      <alignment horizontal="left" vertical="top" indent="1"/>
    </xf>
    <xf numFmtId="0" fontId="11" fillId="0" borderId="0" xfId="85" applyFont="1" applyAlignment="1">
      <alignment horizontal="left" vertical="center" wrapText="1"/>
    </xf>
    <xf numFmtId="0" fontId="10" fillId="0" borderId="0" xfId="85" applyFont="1" applyAlignment="1">
      <alignment horizontal="left" vertical="center" wrapText="1"/>
    </xf>
    <xf numFmtId="0" fontId="10" fillId="0" borderId="89" xfId="7" applyFont="1" applyBorder="1" applyAlignment="1">
      <alignment horizontal="left" vertical="center" wrapText="1" indent="1"/>
    </xf>
    <xf numFmtId="178" fontId="0" fillId="117" borderId="59" xfId="0" applyNumberFormat="1" applyFill="1" applyBorder="1" applyAlignment="1">
      <alignment horizontal="right" indent="1"/>
    </xf>
    <xf numFmtId="178" fontId="0" fillId="117" borderId="60" xfId="0" applyNumberFormat="1" applyFill="1" applyBorder="1" applyAlignment="1">
      <alignment horizontal="right" indent="1"/>
    </xf>
    <xf numFmtId="178" fontId="0" fillId="117" borderId="62" xfId="0" applyNumberFormat="1" applyFill="1" applyBorder="1" applyAlignment="1">
      <alignment horizontal="right" indent="1"/>
    </xf>
    <xf numFmtId="10" fontId="0" fillId="0" borderId="99" xfId="0" applyNumberFormat="1" applyBorder="1"/>
    <xf numFmtId="178" fontId="0" fillId="117" borderId="64" xfId="0" applyNumberFormat="1" applyFill="1" applyBorder="1" applyAlignment="1">
      <alignment horizontal="right" indent="1"/>
    </xf>
    <xf numFmtId="10" fontId="0" fillId="0" borderId="97" xfId="0" applyNumberFormat="1" applyBorder="1"/>
    <xf numFmtId="10" fontId="0" fillId="0" borderId="91" xfId="0" applyNumberFormat="1" applyBorder="1"/>
    <xf numFmtId="178" fontId="0" fillId="117" borderId="66" xfId="0" applyNumberFormat="1" applyFill="1" applyBorder="1" applyAlignment="1">
      <alignment horizontal="right" indent="1"/>
    </xf>
    <xf numFmtId="178" fontId="0" fillId="117" borderId="67" xfId="0" applyNumberFormat="1" applyFill="1" applyBorder="1" applyAlignment="1">
      <alignment horizontal="right" indent="1"/>
    </xf>
    <xf numFmtId="10" fontId="0" fillId="0" borderId="100" xfId="0" applyNumberFormat="1" applyBorder="1"/>
    <xf numFmtId="0" fontId="262" fillId="47" borderId="21" xfId="0" applyFont="1" applyFill="1" applyBorder="1" applyAlignment="1">
      <alignment wrapText="1"/>
    </xf>
    <xf numFmtId="0" fontId="10" fillId="42" borderId="120" xfId="7" applyFont="1" applyFill="1" applyBorder="1" applyAlignment="1">
      <alignment horizontal="left" indent="1"/>
    </xf>
    <xf numFmtId="1" fontId="8" fillId="2" borderId="121" xfId="0" applyNumberFormat="1" applyFont="1" applyFill="1" applyBorder="1" applyAlignment="1">
      <alignment horizontal="center" vertical="center"/>
    </xf>
    <xf numFmtId="1" fontId="8" fillId="2" borderId="122" xfId="0" applyNumberFormat="1" applyFont="1" applyFill="1" applyBorder="1" applyAlignment="1">
      <alignment horizontal="center" vertical="center"/>
    </xf>
    <xf numFmtId="1" fontId="0" fillId="0" borderId="120" xfId="0" applyNumberFormat="1" applyBorder="1" applyAlignment="1">
      <alignment horizontal="left" indent="1"/>
    </xf>
    <xf numFmtId="0" fontId="0" fillId="0" borderId="123" xfId="0" applyBorder="1"/>
    <xf numFmtId="0" fontId="263" fillId="47" borderId="21" xfId="90" applyFont="1" applyFill="1" applyBorder="1" applyAlignment="1">
      <alignment horizontal="left" indent="1"/>
    </xf>
    <xf numFmtId="0" fontId="263" fillId="47" borderId="21" xfId="90" applyFont="1" applyFill="1" applyBorder="1" applyAlignment="1">
      <alignment horizontal="left"/>
    </xf>
    <xf numFmtId="0" fontId="30" fillId="47" borderId="21" xfId="90" applyFont="1" applyFill="1" applyBorder="1" applyAlignment="1">
      <alignment horizontal="left"/>
    </xf>
    <xf numFmtId="0" fontId="32" fillId="47" borderId="21" xfId="75" applyFont="1" applyFill="1" applyBorder="1"/>
    <xf numFmtId="0" fontId="262" fillId="47" borderId="21" xfId="0" applyFont="1" applyFill="1" applyBorder="1" applyAlignment="1">
      <alignment horizontal="left" indent="1"/>
    </xf>
    <xf numFmtId="0" fontId="0" fillId="47" borderId="21" xfId="0" applyFill="1" applyBorder="1" applyAlignment="1">
      <alignment horizontal="center" vertical="center"/>
    </xf>
    <xf numFmtId="0" fontId="0" fillId="47" borderId="21" xfId="0" applyFill="1" applyBorder="1"/>
    <xf numFmtId="0" fontId="30" fillId="47" borderId="21" xfId="90" applyFont="1" applyFill="1" applyBorder="1" applyAlignment="1">
      <alignment horizontal="center" vertical="center"/>
    </xf>
    <xf numFmtId="177" fontId="10" fillId="38" borderId="120" xfId="1" applyNumberFormat="1" applyFont="1" applyFill="1" applyBorder="1" applyProtection="1"/>
    <xf numFmtId="0" fontId="266" fillId="47" borderId="21" xfId="90" applyFont="1" applyFill="1" applyBorder="1" applyAlignment="1">
      <alignment horizontal="left"/>
    </xf>
    <xf numFmtId="0" fontId="35" fillId="47" borderId="21" xfId="90" applyFont="1" applyFill="1" applyBorder="1" applyAlignment="1">
      <alignment horizontal="center" vertical="center"/>
    </xf>
    <xf numFmtId="0" fontId="35" fillId="47" borderId="21" xfId="90" applyFont="1" applyFill="1" applyBorder="1" applyAlignment="1">
      <alignment horizontal="left"/>
    </xf>
    <xf numFmtId="9" fontId="0" fillId="51" borderId="121" xfId="1" applyNumberFormat="1" applyFont="1" applyFill="1" applyBorder="1" applyAlignment="1">
      <alignment horizontal="right"/>
    </xf>
    <xf numFmtId="9" fontId="0" fillId="51" borderId="122" xfId="1" applyNumberFormat="1" applyFont="1" applyFill="1" applyBorder="1" applyAlignment="1">
      <alignment horizontal="right"/>
    </xf>
    <xf numFmtId="0" fontId="30" fillId="47" borderId="21" xfId="90" applyFont="1" applyFill="1" applyBorder="1" applyAlignment="1">
      <alignment horizontal="center"/>
    </xf>
    <xf numFmtId="177" fontId="11" fillId="52" borderId="121" xfId="2" applyNumberFormat="1" applyFont="1" applyFill="1" applyBorder="1"/>
    <xf numFmtId="177" fontId="10" fillId="38" borderId="121" xfId="1" applyNumberFormat="1" applyFont="1" applyFill="1" applyBorder="1" applyProtection="1"/>
    <xf numFmtId="177" fontId="10" fillId="38" borderId="122" xfId="1" applyNumberFormat="1" applyFont="1" applyFill="1" applyBorder="1" applyProtection="1"/>
    <xf numFmtId="177" fontId="0" fillId="52" borderId="121" xfId="0" applyNumberFormat="1" applyFill="1" applyBorder="1" applyAlignment="1">
      <alignment horizontal="right" vertical="top"/>
    </xf>
    <xf numFmtId="10" fontId="0" fillId="117" borderId="63" xfId="77" applyNumberFormat="1" applyFont="1" applyFill="1" applyBorder="1" applyAlignment="1">
      <alignment horizontal="right" indent="1"/>
    </xf>
    <xf numFmtId="177" fontId="0" fillId="0" borderId="0" xfId="0" applyNumberFormat="1" applyAlignment="1">
      <alignment horizontal="right" vertical="top"/>
    </xf>
    <xf numFmtId="0" fontId="0" fillId="3" borderId="0" xfId="0" applyFill="1" applyAlignment="1">
      <alignment horizontal="left" vertical="top"/>
    </xf>
    <xf numFmtId="0" fontId="8" fillId="3" borderId="0" xfId="0" applyFont="1" applyFill="1" applyAlignment="1">
      <alignment horizontal="left" vertical="top"/>
    </xf>
    <xf numFmtId="0" fontId="8" fillId="3" borderId="0" xfId="0" applyFont="1" applyFill="1" applyAlignment="1">
      <alignment horizontal="center" vertical="center" wrapText="1"/>
    </xf>
    <xf numFmtId="0" fontId="0" fillId="3" borderId="0" xfId="0" applyFill="1" applyAlignment="1">
      <alignment horizontal="right" vertical="top"/>
    </xf>
    <xf numFmtId="1" fontId="8" fillId="2" borderId="85" xfId="0" applyNumberFormat="1" applyFont="1" applyFill="1" applyBorder="1" applyAlignment="1">
      <alignment horizontal="center" vertical="center" wrapText="1"/>
    </xf>
    <xf numFmtId="1" fontId="8" fillId="2" borderId="6" xfId="0" applyNumberFormat="1" applyFont="1" applyFill="1" applyBorder="1" applyAlignment="1">
      <alignment horizontal="center" vertical="center"/>
    </xf>
    <xf numFmtId="3" fontId="0" fillId="0" borderId="123" xfId="0" applyNumberFormat="1" applyBorder="1" applyAlignment="1">
      <alignment horizontal="center" vertical="center" wrapText="1"/>
    </xf>
    <xf numFmtId="0" fontId="0" fillId="0" borderId="94" xfId="0" applyBorder="1" applyAlignment="1">
      <alignment horizontal="left" vertical="center" wrapText="1" indent="1"/>
    </xf>
    <xf numFmtId="177" fontId="0" fillId="131" borderId="63" xfId="0" applyNumberFormat="1" applyFill="1" applyBorder="1" applyAlignment="1">
      <alignment horizontal="right" vertical="top"/>
    </xf>
    <xf numFmtId="178" fontId="0" fillId="0" borderId="63" xfId="0" applyNumberFormat="1" applyBorder="1" applyAlignment="1">
      <alignment horizontal="right" indent="1"/>
    </xf>
    <xf numFmtId="177" fontId="10" fillId="52" borderId="101" xfId="2" applyNumberFormat="1" applyFont="1" applyFill="1" applyBorder="1" applyAlignment="1">
      <alignment vertical="top"/>
    </xf>
    <xf numFmtId="177" fontId="10" fillId="52" borderId="106" xfId="2" applyNumberFormat="1" applyFont="1" applyFill="1" applyBorder="1" applyAlignment="1">
      <alignment vertical="top"/>
    </xf>
    <xf numFmtId="0" fontId="0" fillId="0" borderId="0" xfId="0" applyAlignment="1">
      <alignment vertical="top"/>
    </xf>
    <xf numFmtId="177" fontId="11" fillId="52" borderId="59" xfId="2" applyNumberFormat="1" applyFont="1" applyFill="1" applyBorder="1"/>
    <xf numFmtId="177" fontId="11" fillId="52" borderId="60" xfId="2" applyNumberFormat="1" applyFont="1" applyFill="1" applyBorder="1"/>
    <xf numFmtId="183" fontId="10" fillId="52" borderId="6" xfId="7" applyNumberFormat="1" applyFont="1" applyFill="1" applyBorder="1" applyAlignment="1">
      <alignment horizontal="center" vertical="center"/>
    </xf>
    <xf numFmtId="177" fontId="10" fillId="38" borderId="76" xfId="1" applyNumberFormat="1" applyFont="1" applyFill="1" applyBorder="1" applyProtection="1"/>
    <xf numFmtId="177" fontId="11" fillId="38" borderId="125" xfId="1" applyNumberFormat="1" applyFont="1" applyFill="1" applyBorder="1" applyProtection="1"/>
    <xf numFmtId="177" fontId="11" fillId="38" borderId="126" xfId="1" applyNumberFormat="1" applyFont="1" applyFill="1" applyBorder="1" applyProtection="1"/>
    <xf numFmtId="177" fontId="11" fillId="38" borderId="127" xfId="1" applyNumberFormat="1" applyFont="1" applyFill="1" applyBorder="1" applyProtection="1"/>
    <xf numFmtId="0" fontId="0" fillId="0" borderId="128" xfId="0" applyBorder="1"/>
    <xf numFmtId="175" fontId="10" fillId="38" borderId="121" xfId="77" applyNumberFormat="1" applyFont="1" applyFill="1" applyBorder="1"/>
    <xf numFmtId="175" fontId="10" fillId="38" borderId="76" xfId="77" applyNumberFormat="1" applyFont="1" applyFill="1" applyBorder="1"/>
    <xf numFmtId="175" fontId="11" fillId="38" borderId="125" xfId="77" applyNumberFormat="1" applyFont="1" applyFill="1" applyBorder="1" applyProtection="1"/>
    <xf numFmtId="175" fontId="11" fillId="38" borderId="127" xfId="77" applyNumberFormat="1" applyFont="1" applyFill="1" applyBorder="1" applyProtection="1"/>
    <xf numFmtId="175" fontId="11" fillId="38" borderId="126" xfId="77" applyNumberFormat="1" applyFont="1" applyFill="1" applyBorder="1" applyProtection="1"/>
    <xf numFmtId="175" fontId="10" fillId="38" borderId="124" xfId="77" applyNumberFormat="1" applyFont="1" applyFill="1" applyBorder="1" applyProtection="1"/>
    <xf numFmtId="175" fontId="10" fillId="38" borderId="77" xfId="77" applyNumberFormat="1" applyFont="1" applyFill="1" applyBorder="1" applyProtection="1"/>
    <xf numFmtId="175" fontId="11" fillId="38" borderId="129" xfId="77" applyNumberFormat="1" applyFont="1" applyFill="1" applyBorder="1" applyProtection="1"/>
    <xf numFmtId="175" fontId="10" fillId="38" borderId="68" xfId="77" applyNumberFormat="1" applyFont="1" applyFill="1" applyBorder="1" applyProtection="1"/>
    <xf numFmtId="9" fontId="0" fillId="0" borderId="6" xfId="77" applyFont="1" applyBorder="1" applyAlignment="1">
      <alignment horizontal="center" vertical="center"/>
    </xf>
    <xf numFmtId="9" fontId="0" fillId="0" borderId="6" xfId="77" applyFont="1" applyFill="1" applyBorder="1" applyAlignment="1">
      <alignment horizontal="center" vertical="center"/>
    </xf>
    <xf numFmtId="0" fontId="270" fillId="53" borderId="0" xfId="0" applyFont="1" applyFill="1" applyAlignment="1">
      <alignment horizontal="left" vertical="top"/>
    </xf>
    <xf numFmtId="0" fontId="0" fillId="51" borderId="0" xfId="0" applyFill="1" applyAlignment="1">
      <alignment horizontal="left" vertical="top"/>
    </xf>
    <xf numFmtId="0" fontId="263" fillId="0" borderId="0" xfId="90" applyFont="1" applyAlignment="1">
      <alignment horizontal="left"/>
    </xf>
    <xf numFmtId="0" fontId="262" fillId="0" borderId="0" xfId="0" applyFont="1"/>
    <xf numFmtId="0" fontId="262" fillId="0" borderId="0" xfId="0" applyFont="1" applyAlignment="1">
      <alignment wrapText="1"/>
    </xf>
    <xf numFmtId="0" fontId="262" fillId="0" borderId="0" xfId="0" applyFont="1" applyAlignment="1">
      <alignment horizontal="left" indent="1"/>
    </xf>
    <xf numFmtId="0" fontId="10" fillId="0" borderId="11" xfId="77" applyNumberFormat="1" applyFont="1" applyFill="1" applyBorder="1" applyAlignment="1" applyProtection="1">
      <alignment horizontal="center"/>
    </xf>
    <xf numFmtId="0" fontId="10" fillId="51" borderId="0" xfId="77" applyNumberFormat="1" applyFont="1" applyFill="1" applyBorder="1" applyAlignment="1" applyProtection="1">
      <alignment horizontal="left" indent="1"/>
    </xf>
    <xf numFmtId="0" fontId="11" fillId="51" borderId="0" xfId="77" applyNumberFormat="1" applyFont="1" applyFill="1" applyBorder="1" applyAlignment="1" applyProtection="1">
      <alignment horizontal="left" indent="1"/>
    </xf>
    <xf numFmtId="0" fontId="0" fillId="51" borderId="0" xfId="0" applyFill="1" applyAlignment="1">
      <alignment horizontal="left" indent="1"/>
    </xf>
    <xf numFmtId="0" fontId="8" fillId="51" borderId="0" xfId="0" applyFont="1" applyFill="1" applyAlignment="1">
      <alignment horizontal="left" indent="1"/>
    </xf>
    <xf numFmtId="1" fontId="0" fillId="51" borderId="11" xfId="0" applyNumberFormat="1" applyFill="1" applyBorder="1" applyAlignment="1">
      <alignment horizontal="center"/>
    </xf>
    <xf numFmtId="1" fontId="0" fillId="51" borderId="0" xfId="0" applyNumberFormat="1" applyFill="1" applyAlignment="1">
      <alignment horizontal="center"/>
    </xf>
    <xf numFmtId="177" fontId="10" fillId="52" borderId="87" xfId="1" applyNumberFormat="1" applyFont="1" applyFill="1" applyBorder="1" applyProtection="1"/>
    <xf numFmtId="177" fontId="10" fillId="52" borderId="81" xfId="1" applyNumberFormat="1" applyFont="1" applyFill="1" applyBorder="1" applyProtection="1"/>
    <xf numFmtId="177" fontId="10" fillId="52" borderId="82" xfId="1" applyNumberFormat="1" applyFont="1" applyFill="1" applyBorder="1" applyProtection="1"/>
    <xf numFmtId="3" fontId="0" fillId="0" borderId="120" xfId="0" applyNumberFormat="1" applyBorder="1" applyAlignment="1">
      <alignment horizontal="center" vertical="center" wrapText="1"/>
    </xf>
    <xf numFmtId="0" fontId="0" fillId="0" borderId="99" xfId="0" applyBorder="1" applyAlignment="1">
      <alignment horizontal="left" vertical="center" wrapText="1" indent="1"/>
    </xf>
    <xf numFmtId="184" fontId="10" fillId="3" borderId="0" xfId="0" applyNumberFormat="1" applyFont="1" applyFill="1" applyAlignment="1" applyProtection="1">
      <alignment horizontal="left" vertical="center" indent="1"/>
      <protection locked="0"/>
    </xf>
    <xf numFmtId="0" fontId="268" fillId="0" borderId="0" xfId="0" applyFont="1" applyAlignment="1">
      <alignment horizontal="left" vertical="top"/>
    </xf>
    <xf numFmtId="0" fontId="271" fillId="0" borderId="0" xfId="0" applyFont="1"/>
    <xf numFmtId="10" fontId="0" fillId="0" borderId="0" xfId="0" applyNumberFormat="1"/>
    <xf numFmtId="178" fontId="0" fillId="0" borderId="128" xfId="0" applyNumberFormat="1" applyBorder="1" applyAlignment="1">
      <alignment horizontal="right" indent="1"/>
    </xf>
    <xf numFmtId="178" fontId="0" fillId="117" borderId="86" xfId="0" applyNumberFormat="1" applyFill="1" applyBorder="1" applyAlignment="1">
      <alignment horizontal="right" indent="1"/>
    </xf>
    <xf numFmtId="178" fontId="0" fillId="117" borderId="130" xfId="0" applyNumberFormat="1" applyFill="1" applyBorder="1" applyAlignment="1">
      <alignment horizontal="right" indent="1"/>
    </xf>
    <xf numFmtId="10" fontId="0" fillId="117" borderId="131" xfId="77" applyNumberFormat="1" applyFont="1" applyFill="1" applyBorder="1" applyAlignment="1">
      <alignment horizontal="right" indent="1"/>
    </xf>
    <xf numFmtId="178" fontId="0" fillId="117" borderId="132" xfId="0" applyNumberFormat="1" applyFill="1" applyBorder="1" applyAlignment="1">
      <alignment horizontal="right" indent="1"/>
    </xf>
    <xf numFmtId="10" fontId="0" fillId="0" borderId="133" xfId="0" applyNumberFormat="1" applyBorder="1"/>
    <xf numFmtId="178" fontId="0" fillId="117" borderId="131" xfId="0" applyNumberFormat="1" applyFill="1" applyBorder="1" applyAlignment="1">
      <alignment horizontal="right" indent="1"/>
    </xf>
    <xf numFmtId="10" fontId="0" fillId="0" borderId="134" xfId="0" applyNumberFormat="1" applyBorder="1"/>
    <xf numFmtId="10" fontId="0" fillId="0" borderId="135" xfId="0" applyNumberFormat="1" applyBorder="1"/>
    <xf numFmtId="178" fontId="0" fillId="117" borderId="136" xfId="0" applyNumberFormat="1" applyFill="1" applyBorder="1" applyAlignment="1">
      <alignment horizontal="right" indent="1"/>
    </xf>
    <xf numFmtId="178" fontId="0" fillId="117" borderId="137" xfId="0" applyNumberFormat="1" applyFill="1" applyBorder="1" applyAlignment="1">
      <alignment horizontal="right" indent="1"/>
    </xf>
    <xf numFmtId="1" fontId="8" fillId="53" borderId="138" xfId="0" applyNumberFormat="1" applyFont="1" applyFill="1" applyBorder="1" applyAlignment="1">
      <alignment horizontal="center" vertical="center"/>
    </xf>
    <xf numFmtId="1" fontId="8" fillId="53" borderId="139" xfId="0" applyNumberFormat="1" applyFont="1" applyFill="1" applyBorder="1" applyAlignment="1">
      <alignment horizontal="center" vertical="center"/>
    </xf>
    <xf numFmtId="1" fontId="8" fillId="53" borderId="140" xfId="0" applyNumberFormat="1" applyFont="1" applyFill="1" applyBorder="1" applyAlignment="1">
      <alignment horizontal="center" vertical="center"/>
    </xf>
    <xf numFmtId="1" fontId="8" fillId="53" borderId="141" xfId="0" applyNumberFormat="1" applyFont="1" applyFill="1" applyBorder="1" applyAlignment="1">
      <alignment horizontal="center" vertical="center"/>
    </xf>
    <xf numFmtId="178" fontId="0" fillId="117" borderId="145" xfId="0" applyNumberFormat="1" applyFill="1" applyBorder="1" applyAlignment="1">
      <alignment horizontal="right" indent="1"/>
    </xf>
    <xf numFmtId="178" fontId="0" fillId="117" borderId="146" xfId="0" applyNumberFormat="1" applyFill="1" applyBorder="1" applyAlignment="1">
      <alignment horizontal="right" indent="1"/>
    </xf>
    <xf numFmtId="10" fontId="0" fillId="0" borderId="147" xfId="0" applyNumberFormat="1" applyBorder="1"/>
    <xf numFmtId="10" fontId="0" fillId="117" borderId="146" xfId="77" applyNumberFormat="1" applyFont="1" applyFill="1" applyBorder="1" applyAlignment="1">
      <alignment horizontal="right" indent="1"/>
    </xf>
    <xf numFmtId="10" fontId="0" fillId="117" borderId="148" xfId="77" applyNumberFormat="1" applyFont="1" applyFill="1" applyBorder="1" applyAlignment="1">
      <alignment horizontal="right" indent="1"/>
    </xf>
    <xf numFmtId="3" fontId="10" fillId="0" borderId="145" xfId="89" applyNumberFormat="1" applyFont="1" applyBorder="1" applyAlignment="1">
      <alignment horizontal="left" indent="1"/>
    </xf>
    <xf numFmtId="0" fontId="0" fillId="0" borderId="146" xfId="0" applyBorder="1" applyAlignment="1">
      <alignment horizontal="center"/>
    </xf>
    <xf numFmtId="0" fontId="0" fillId="0" borderId="149" xfId="0" applyBorder="1" applyAlignment="1">
      <alignment horizontal="center"/>
    </xf>
    <xf numFmtId="0" fontId="0" fillId="0" borderId="150" xfId="0" applyBorder="1" applyAlignment="1">
      <alignment horizontal="center" vertical="center"/>
    </xf>
    <xf numFmtId="3" fontId="10" fillId="0" borderId="132" xfId="89" applyNumberFormat="1" applyFont="1" applyBorder="1" applyAlignment="1">
      <alignment horizontal="left" indent="1"/>
    </xf>
    <xf numFmtId="0" fontId="0" fillId="0" borderId="151" xfId="0" applyBorder="1" applyAlignment="1">
      <alignment horizontal="center" vertical="center"/>
    </xf>
    <xf numFmtId="3" fontId="10" fillId="0" borderId="152" xfId="89" applyNumberFormat="1" applyFont="1" applyBorder="1" applyAlignment="1">
      <alignment horizontal="left" indent="1"/>
    </xf>
    <xf numFmtId="0" fontId="0" fillId="0" borderId="136" xfId="0" applyBorder="1" applyAlignment="1">
      <alignment horizontal="center"/>
    </xf>
    <xf numFmtId="0" fontId="0" fillId="0" borderId="153" xfId="0" applyBorder="1" applyAlignment="1">
      <alignment horizontal="center"/>
    </xf>
    <xf numFmtId="0" fontId="0" fillId="0" borderId="154" xfId="0" applyBorder="1" applyAlignment="1">
      <alignment horizontal="center" vertical="center"/>
    </xf>
    <xf numFmtId="0" fontId="10" fillId="0" borderId="138" xfId="7" applyFont="1" applyBorder="1" applyAlignment="1">
      <alignment horizontal="left" indent="1"/>
    </xf>
    <xf numFmtId="10" fontId="0" fillId="0" borderId="155" xfId="0" applyNumberFormat="1" applyBorder="1"/>
    <xf numFmtId="0" fontId="0" fillId="0" borderId="140" xfId="0" applyBorder="1"/>
    <xf numFmtId="0" fontId="0" fillId="0" borderId="156" xfId="0" applyBorder="1"/>
    <xf numFmtId="0" fontId="0" fillId="0" borderId="141" xfId="0" applyBorder="1"/>
    <xf numFmtId="0" fontId="0" fillId="0" borderId="157" xfId="0" applyBorder="1" applyAlignment="1">
      <alignment horizontal="center" vertical="center" wrapText="1"/>
    </xf>
    <xf numFmtId="0" fontId="10" fillId="0" borderId="158" xfId="7" applyFont="1" applyBorder="1" applyAlignment="1">
      <alignment horizontal="center" vertical="center" wrapText="1"/>
    </xf>
    <xf numFmtId="0" fontId="0" fillId="0" borderId="6" xfId="0" applyBorder="1" applyAlignment="1">
      <alignment horizontal="left" vertical="center"/>
    </xf>
    <xf numFmtId="0" fontId="248" fillId="0" borderId="6" xfId="0" applyFont="1" applyBorder="1" applyAlignment="1">
      <alignment horizontal="center" vertical="center"/>
    </xf>
    <xf numFmtId="10" fontId="0" fillId="51" borderId="62" xfId="0" applyNumberFormat="1" applyFill="1" applyBorder="1" applyAlignment="1">
      <alignment horizontal="right" vertical="top"/>
    </xf>
    <xf numFmtId="3" fontId="0" fillId="51" borderId="0" xfId="0" applyNumberFormat="1" applyFill="1" applyAlignment="1">
      <alignment horizontal="left" vertical="top"/>
    </xf>
    <xf numFmtId="0" fontId="8" fillId="116" borderId="0" xfId="0" applyFont="1" applyFill="1" applyAlignment="1">
      <alignment horizontal="left" vertical="center"/>
    </xf>
    <xf numFmtId="0" fontId="272" fillId="0" borderId="0" xfId="0" applyFont="1" applyAlignment="1">
      <alignment horizontal="left" vertical="top"/>
    </xf>
    <xf numFmtId="170" fontId="8" fillId="51" borderId="59" xfId="1" applyNumberFormat="1" applyFont="1" applyFill="1" applyBorder="1" applyAlignment="1">
      <alignment horizontal="right" vertical="top"/>
    </xf>
    <xf numFmtId="177" fontId="0" fillId="51" borderId="59" xfId="0" applyNumberFormat="1" applyFill="1" applyBorder="1" applyAlignment="1">
      <alignment horizontal="right" vertical="top"/>
    </xf>
    <xf numFmtId="170" fontId="11" fillId="0" borderId="0" xfId="1" applyNumberFormat="1" applyFont="1" applyFill="1" applyBorder="1"/>
    <xf numFmtId="178" fontId="274" fillId="0" borderId="0" xfId="75" applyNumberFormat="1" applyFont="1" applyAlignment="1">
      <alignment horizontal="center"/>
    </xf>
    <xf numFmtId="178" fontId="274" fillId="0" borderId="128" xfId="75" applyNumberFormat="1" applyFont="1" applyBorder="1" applyAlignment="1">
      <alignment horizontal="center"/>
    </xf>
    <xf numFmtId="178" fontId="274" fillId="36" borderId="6" xfId="75" applyNumberFormat="1" applyFont="1" applyFill="1" applyBorder="1" applyAlignment="1">
      <alignment horizontal="center" vertical="center"/>
    </xf>
    <xf numFmtId="178" fontId="274" fillId="0" borderId="10" xfId="75" applyNumberFormat="1" applyFont="1" applyBorder="1" applyAlignment="1">
      <alignment horizontal="center" vertical="center"/>
    </xf>
    <xf numFmtId="178" fontId="274" fillId="0" borderId="0" xfId="75" applyNumberFormat="1" applyFont="1" applyAlignment="1">
      <alignment horizontal="center" vertical="center"/>
    </xf>
    <xf numFmtId="177" fontId="0" fillId="51" borderId="71" xfId="0" applyNumberFormat="1" applyFill="1" applyBorder="1" applyAlignment="1">
      <alignment horizontal="right" vertical="center"/>
    </xf>
    <xf numFmtId="0" fontId="0" fillId="0" borderId="0" xfId="0" applyAlignment="1" applyProtection="1">
      <alignment horizontal="left" vertical="center"/>
      <protection locked="0"/>
    </xf>
    <xf numFmtId="180" fontId="263" fillId="47" borderId="0" xfId="90" applyNumberFormat="1" applyFont="1" applyFill="1" applyAlignment="1">
      <alignment horizontal="left"/>
    </xf>
    <xf numFmtId="353" fontId="10" fillId="132" borderId="0" xfId="7" applyNumberFormat="1" applyFont="1" applyFill="1" applyAlignment="1">
      <alignment horizontal="center"/>
    </xf>
    <xf numFmtId="351" fontId="0" fillId="52" borderId="59" xfId="0" applyNumberFormat="1" applyFill="1" applyBorder="1" applyAlignment="1">
      <alignment horizontal="right" vertical="top"/>
    </xf>
    <xf numFmtId="0" fontId="34" fillId="0" borderId="0" xfId="92" quotePrefix="1" applyAlignment="1">
      <alignment horizontal="left" indent="1"/>
    </xf>
    <xf numFmtId="177" fontId="272" fillId="0" borderId="0" xfId="2" applyNumberFormat="1" applyFont="1" applyFill="1" applyBorder="1"/>
    <xf numFmtId="0" fontId="0" fillId="0" borderId="6" xfId="0" applyBorder="1" applyAlignment="1">
      <alignment horizontal="center" vertical="center" wrapText="1"/>
    </xf>
    <xf numFmtId="1" fontId="0" fillId="0" borderId="0" xfId="0" applyNumberFormat="1" applyAlignment="1">
      <alignment vertical="top"/>
    </xf>
    <xf numFmtId="177" fontId="0" fillId="0" borderId="0" xfId="0" applyNumberFormat="1" applyAlignment="1">
      <alignment horizontal="right" vertical="center"/>
    </xf>
    <xf numFmtId="0" fontId="278" fillId="0" borderId="0" xfId="90" applyFont="1" applyAlignment="1">
      <alignment horizontal="center"/>
    </xf>
    <xf numFmtId="170" fontId="0" fillId="3" borderId="59" xfId="1" applyNumberFormat="1" applyFont="1" applyFill="1" applyBorder="1" applyAlignment="1">
      <alignment horizontal="right" vertical="top"/>
    </xf>
    <xf numFmtId="0" fontId="8" fillId="0" borderId="10" xfId="0" applyFont="1" applyBorder="1"/>
    <xf numFmtId="170" fontId="11" fillId="38" borderId="6" xfId="1" applyNumberFormat="1" applyFont="1" applyFill="1" applyBorder="1"/>
    <xf numFmtId="170" fontId="11" fillId="0" borderId="11" xfId="1" applyNumberFormat="1" applyFont="1" applyFill="1" applyBorder="1"/>
    <xf numFmtId="0" fontId="272" fillId="0" borderId="10" xfId="0" applyFont="1" applyBorder="1"/>
    <xf numFmtId="0" fontId="10" fillId="37" borderId="6" xfId="75" applyFont="1" applyFill="1" applyBorder="1" applyAlignment="1">
      <alignment horizontal="center" vertical="center"/>
    </xf>
    <xf numFmtId="0" fontId="8" fillId="0" borderId="89" xfId="0" applyFont="1" applyBorder="1"/>
    <xf numFmtId="0" fontId="0" fillId="0" borderId="128" xfId="0" applyBorder="1" applyAlignment="1">
      <alignment horizontal="left" indent="1"/>
    </xf>
    <xf numFmtId="0" fontId="0" fillId="0" borderId="128" xfId="0" applyBorder="1" applyAlignment="1" applyProtection="1">
      <alignment horizontal="center" vertical="center"/>
      <protection locked="0"/>
    </xf>
    <xf numFmtId="351" fontId="0" fillId="0" borderId="128" xfId="0" applyNumberFormat="1"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10" fillId="0" borderId="6" xfId="7" applyFont="1" applyBorder="1" applyAlignment="1">
      <alignment horizontal="left" indent="1"/>
    </xf>
    <xf numFmtId="0" fontId="10" fillId="3" borderId="6" xfId="1" applyNumberFormat="1" applyFont="1" applyFill="1" applyBorder="1" applyAlignment="1" applyProtection="1">
      <alignment horizontal="right" vertical="center"/>
    </xf>
    <xf numFmtId="0" fontId="10" fillId="36" borderId="6" xfId="75" applyFont="1" applyFill="1" applyBorder="1" applyAlignment="1">
      <alignment horizontal="right" vertical="center"/>
    </xf>
    <xf numFmtId="0" fontId="25" fillId="36" borderId="6" xfId="75" applyFont="1" applyFill="1" applyBorder="1"/>
    <xf numFmtId="1" fontId="10" fillId="38" borderId="6" xfId="1" applyNumberFormat="1" applyFont="1" applyFill="1" applyBorder="1" applyAlignment="1" applyProtection="1">
      <alignment horizontal="right" vertical="center"/>
    </xf>
    <xf numFmtId="0" fontId="25" fillId="38" borderId="6" xfId="75" applyFont="1" applyFill="1" applyBorder="1"/>
    <xf numFmtId="0" fontId="10" fillId="0" borderId="6" xfId="7" applyFont="1" applyBorder="1" applyAlignment="1">
      <alignment horizontal="left" wrapText="1" indent="1"/>
    </xf>
    <xf numFmtId="0" fontId="10" fillId="36" borderId="6" xfId="75" applyFont="1" applyFill="1" applyBorder="1" applyAlignment="1">
      <alignment vertical="center"/>
    </xf>
    <xf numFmtId="0" fontId="25" fillId="39" borderId="6" xfId="75" applyFont="1" applyFill="1" applyBorder="1"/>
    <xf numFmtId="0" fontId="25" fillId="40" borderId="6" xfId="75" applyFont="1" applyFill="1" applyBorder="1"/>
    <xf numFmtId="180" fontId="10" fillId="36" borderId="6" xfId="75" applyNumberFormat="1" applyFont="1" applyFill="1" applyBorder="1" applyAlignment="1">
      <alignment vertical="center"/>
    </xf>
    <xf numFmtId="0" fontId="25" fillId="37" borderId="6" xfId="75" applyFont="1" applyFill="1" applyBorder="1"/>
    <xf numFmtId="0" fontId="25" fillId="41" borderId="6" xfId="75" applyFont="1" applyFill="1" applyBorder="1"/>
    <xf numFmtId="0" fontId="25" fillId="0" borderId="6" xfId="75" applyFont="1" applyBorder="1"/>
    <xf numFmtId="0" fontId="262" fillId="47" borderId="128" xfId="0" applyFont="1" applyFill="1" applyBorder="1" applyAlignment="1">
      <alignment wrapText="1"/>
    </xf>
    <xf numFmtId="175" fontId="10" fillId="38" borderId="6" xfId="77" applyNumberFormat="1" applyFont="1" applyFill="1" applyBorder="1" applyAlignment="1" applyProtection="1">
      <alignment vertical="center"/>
    </xf>
    <xf numFmtId="0" fontId="248" fillId="132" borderId="6" xfId="0" applyFont="1" applyFill="1" applyBorder="1" applyAlignment="1">
      <alignment horizontal="center" vertical="center"/>
    </xf>
    <xf numFmtId="10" fontId="10" fillId="38" borderId="6" xfId="77" applyNumberFormat="1" applyFont="1" applyFill="1" applyBorder="1" applyAlignment="1" applyProtection="1">
      <alignment vertical="center"/>
    </xf>
    <xf numFmtId="0" fontId="0" fillId="0" borderId="6" xfId="0" applyBorder="1" applyAlignment="1">
      <alignment horizontal="center"/>
    </xf>
    <xf numFmtId="0" fontId="0" fillId="0" borderId="6" xfId="0" applyBorder="1"/>
    <xf numFmtId="0" fontId="0" fillId="0" borderId="6" xfId="0" applyBorder="1" applyAlignment="1">
      <alignment horizontal="center" vertical="center"/>
    </xf>
    <xf numFmtId="14" fontId="0" fillId="0" borderId="6" xfId="0" applyNumberFormat="1" applyBorder="1" applyAlignment="1">
      <alignment horizontal="center" vertical="center"/>
    </xf>
    <xf numFmtId="14" fontId="10" fillId="42" borderId="6" xfId="7" applyNumberFormat="1" applyFont="1" applyFill="1" applyBorder="1" applyAlignment="1">
      <alignment horizontal="center" vertical="center"/>
    </xf>
    <xf numFmtId="0" fontId="8" fillId="2" borderId="6" xfId="0" applyFont="1" applyFill="1" applyBorder="1" applyAlignment="1">
      <alignment horizontal="center" vertical="center"/>
    </xf>
    <xf numFmtId="0" fontId="11" fillId="2" borderId="6" xfId="7" applyFont="1" applyFill="1" applyBorder="1" applyAlignment="1">
      <alignment horizontal="center" vertical="center"/>
    </xf>
    <xf numFmtId="0" fontId="0" fillId="0" borderId="6" xfId="0" applyBorder="1" applyAlignment="1">
      <alignment wrapText="1"/>
    </xf>
    <xf numFmtId="0" fontId="10" fillId="0" borderId="6" xfId="7" applyFont="1" applyBorder="1" applyAlignment="1">
      <alignment horizontal="left" vertical="center" wrapText="1" indent="1"/>
    </xf>
    <xf numFmtId="0" fontId="0" fillId="0" borderId="28" xfId="0" applyBorder="1"/>
    <xf numFmtId="0" fontId="0" fillId="0" borderId="6" xfId="0" applyBorder="1" applyAlignment="1">
      <alignment horizontal="center" wrapText="1"/>
    </xf>
    <xf numFmtId="0" fontId="26" fillId="0" borderId="6" xfId="0" applyFont="1" applyBorder="1" applyAlignment="1">
      <alignment horizontal="left" indent="1"/>
    </xf>
    <xf numFmtId="0" fontId="33" fillId="0" borderId="6" xfId="75" applyFont="1" applyBorder="1" applyAlignment="1">
      <alignment horizontal="center" vertical="center"/>
    </xf>
    <xf numFmtId="0" fontId="24" fillId="0" borderId="6" xfId="75" applyFont="1" applyBorder="1" applyAlignment="1">
      <alignment horizontal="center"/>
    </xf>
    <xf numFmtId="180" fontId="10" fillId="36" borderId="6" xfId="75" applyNumberFormat="1" applyFont="1" applyFill="1" applyBorder="1"/>
    <xf numFmtId="0" fontId="30" fillId="47" borderId="128" xfId="90" applyFont="1" applyFill="1" applyBorder="1" applyAlignment="1">
      <alignment horizontal="left"/>
    </xf>
    <xf numFmtId="0" fontId="32" fillId="47" borderId="128" xfId="75" applyFont="1" applyFill="1" applyBorder="1"/>
    <xf numFmtId="0" fontId="263" fillId="47" borderId="128" xfId="90" applyFont="1" applyFill="1" applyBorder="1" applyAlignment="1">
      <alignment horizontal="left" indent="1"/>
    </xf>
    <xf numFmtId="0" fontId="30" fillId="47" borderId="128" xfId="90" applyFont="1" applyFill="1" applyBorder="1" applyAlignment="1">
      <alignment horizontal="center" vertical="center"/>
    </xf>
    <xf numFmtId="170" fontId="10" fillId="38" borderId="6" xfId="1" applyNumberFormat="1" applyFont="1" applyFill="1" applyBorder="1"/>
    <xf numFmtId="0" fontId="0" fillId="3" borderId="128" xfId="0" applyFill="1" applyBorder="1" applyAlignment="1">
      <alignment horizontal="left" indent="1"/>
    </xf>
    <xf numFmtId="0" fontId="0" fillId="3" borderId="128" xfId="0" applyFill="1" applyBorder="1" applyAlignment="1">
      <alignment horizontal="center" vertical="center"/>
    </xf>
    <xf numFmtId="0" fontId="0" fillId="3" borderId="128" xfId="0" applyFill="1" applyBorder="1"/>
    <xf numFmtId="177" fontId="10" fillId="38" borderId="6" xfId="1" applyNumberFormat="1" applyFont="1" applyFill="1" applyBorder="1" applyProtection="1"/>
    <xf numFmtId="0" fontId="35" fillId="47" borderId="128" xfId="90" applyFont="1" applyFill="1" applyBorder="1" applyAlignment="1">
      <alignment horizontal="center" vertical="center"/>
    </xf>
    <xf numFmtId="0" fontId="35" fillId="47" borderId="128" xfId="90" applyFont="1" applyFill="1" applyBorder="1" applyAlignment="1">
      <alignment horizontal="left"/>
    </xf>
    <xf numFmtId="2" fontId="10" fillId="40" borderId="6" xfId="75" applyNumberFormat="1" applyFont="1" applyFill="1" applyBorder="1"/>
    <xf numFmtId="0" fontId="265" fillId="47" borderId="128" xfId="90" applyFont="1" applyFill="1" applyBorder="1" applyAlignment="1">
      <alignment horizontal="left"/>
    </xf>
    <xf numFmtId="0" fontId="263" fillId="47" borderId="128" xfId="90" applyFont="1" applyFill="1" applyBorder="1" applyAlignment="1">
      <alignment horizontal="left"/>
    </xf>
    <xf numFmtId="177" fontId="11" fillId="42" borderId="28" xfId="1" applyNumberFormat="1" applyFont="1" applyFill="1" applyBorder="1" applyProtection="1"/>
    <xf numFmtId="177" fontId="11" fillId="42" borderId="28" xfId="2" applyNumberFormat="1" applyFont="1" applyFill="1" applyBorder="1" applyAlignment="1">
      <alignment horizontal="right" vertical="center"/>
    </xf>
    <xf numFmtId="177" fontId="10" fillId="3" borderId="6" xfId="2" applyNumberFormat="1" applyFont="1" applyFill="1" applyBorder="1"/>
    <xf numFmtId="0" fontId="278" fillId="47" borderId="128" xfId="90" applyFont="1" applyFill="1" applyBorder="1" applyAlignment="1">
      <alignment horizontal="center"/>
    </xf>
    <xf numFmtId="0" fontId="0" fillId="134" borderId="6" xfId="0" applyFill="1" applyBorder="1"/>
    <xf numFmtId="177" fontId="0" fillId="3" borderId="6" xfId="0" applyNumberFormat="1" applyFill="1" applyBorder="1" applyAlignment="1">
      <alignment horizontal="right" vertical="top"/>
    </xf>
    <xf numFmtId="177" fontId="0" fillId="52" borderId="6" xfId="0" applyNumberFormat="1" applyFill="1" applyBorder="1"/>
    <xf numFmtId="0" fontId="0" fillId="0" borderId="6" xfId="0" applyBorder="1" applyAlignment="1">
      <alignment horizontal="center" vertical="top"/>
    </xf>
    <xf numFmtId="177" fontId="0" fillId="0" borderId="6" xfId="0" applyNumberFormat="1" applyBorder="1" applyAlignment="1">
      <alignment horizontal="right" vertical="top"/>
    </xf>
    <xf numFmtId="177" fontId="10" fillId="131" borderId="6" xfId="2" applyNumberFormat="1" applyFont="1" applyFill="1" applyBorder="1"/>
    <xf numFmtId="14" fontId="10" fillId="3" borderId="6" xfId="2" applyNumberFormat="1" applyFont="1" applyFill="1" applyBorder="1"/>
    <xf numFmtId="177" fontId="10" fillId="38" borderId="6" xfId="1" applyNumberFormat="1" applyFont="1" applyFill="1" applyBorder="1" applyAlignment="1" applyProtection="1">
      <alignment horizontal="right"/>
    </xf>
    <xf numFmtId="0" fontId="27" fillId="0" borderId="0" xfId="0" applyFont="1" applyAlignment="1">
      <alignment horizontal="left"/>
    </xf>
    <xf numFmtId="170" fontId="10" fillId="52" borderId="6" xfId="1" applyNumberFormat="1" applyFont="1" applyFill="1" applyBorder="1"/>
    <xf numFmtId="0" fontId="26" fillId="0" borderId="10" xfId="0" applyFont="1" applyBorder="1"/>
    <xf numFmtId="351" fontId="0" fillId="52" borderId="6" xfId="0" applyNumberFormat="1" applyFill="1" applyBorder="1"/>
    <xf numFmtId="0" fontId="8" fillId="0" borderId="10" xfId="0" applyFont="1" applyBorder="1" applyAlignment="1">
      <alignment horizontal="left" vertical="top"/>
    </xf>
    <xf numFmtId="0" fontId="0" fillId="0" borderId="10" xfId="0" applyBorder="1"/>
    <xf numFmtId="0" fontId="29" fillId="0" borderId="10" xfId="0" applyFont="1" applyBorder="1"/>
    <xf numFmtId="0" fontId="0" fillId="0" borderId="10" xfId="0" applyBorder="1" applyAlignment="1">
      <alignment horizontal="left" vertical="top"/>
    </xf>
    <xf numFmtId="170" fontId="11" fillId="38" borderId="11" xfId="1" applyNumberFormat="1" applyFont="1" applyFill="1" applyBorder="1"/>
    <xf numFmtId="0" fontId="11" fillId="0" borderId="0" xfId="0" applyFont="1" applyAlignment="1">
      <alignment horizontal="left" vertical="top"/>
    </xf>
    <xf numFmtId="0" fontId="0" fillId="0" borderId="21" xfId="0" applyBorder="1" applyAlignment="1">
      <alignment horizontal="left" indent="1"/>
    </xf>
    <xf numFmtId="0" fontId="0" fillId="0" borderId="21" xfId="0" applyBorder="1" applyAlignment="1" applyProtection="1">
      <alignment horizontal="center" vertical="center"/>
      <protection locked="0"/>
    </xf>
    <xf numFmtId="177" fontId="0" fillId="3" borderId="71" xfId="0" applyNumberFormat="1" applyFill="1" applyBorder="1" applyAlignment="1">
      <alignment horizontal="right" vertical="center"/>
    </xf>
    <xf numFmtId="178" fontId="0" fillId="0" borderId="6" xfId="0" applyNumberFormat="1" applyBorder="1" applyAlignment="1">
      <alignment horizontal="center" vertical="center"/>
    </xf>
    <xf numFmtId="178" fontId="10" fillId="0" borderId="6" xfId="7" applyNumberFormat="1" applyFont="1" applyBorder="1" applyAlignment="1">
      <alignment horizontal="center" vertical="center"/>
    </xf>
    <xf numFmtId="9" fontId="9" fillId="0" borderId="6" xfId="77" applyFont="1" applyFill="1" applyBorder="1" applyAlignment="1">
      <alignment horizontal="center" vertical="center"/>
    </xf>
    <xf numFmtId="178" fontId="0" fillId="0" borderId="119" xfId="0" applyNumberFormat="1" applyBorder="1" applyAlignment="1">
      <alignment horizontal="center" vertical="center"/>
    </xf>
    <xf numFmtId="10" fontId="0" fillId="0" borderId="101" xfId="0" applyNumberFormat="1" applyBorder="1"/>
    <xf numFmtId="10" fontId="0" fillId="0" borderId="104" xfId="0" applyNumberFormat="1" applyBorder="1"/>
    <xf numFmtId="10" fontId="0" fillId="0" borderId="6" xfId="0" applyNumberFormat="1" applyBorder="1"/>
    <xf numFmtId="0" fontId="10" fillId="51" borderId="0" xfId="0" applyFont="1" applyFill="1" applyAlignment="1">
      <alignment horizontal="left" indent="1"/>
    </xf>
    <xf numFmtId="177" fontId="11" fillId="51" borderId="125" xfId="1" applyNumberFormat="1" applyFont="1" applyFill="1" applyBorder="1" applyProtection="1"/>
    <xf numFmtId="178" fontId="274" fillId="131" borderId="6" xfId="75" applyNumberFormat="1" applyFont="1" applyFill="1" applyBorder="1" applyAlignment="1">
      <alignment horizontal="center" vertical="center"/>
    </xf>
    <xf numFmtId="173" fontId="11" fillId="0" borderId="0" xfId="0" applyNumberFormat="1" applyFont="1" applyAlignment="1">
      <alignment vertical="center"/>
    </xf>
    <xf numFmtId="177" fontId="10" fillId="0" borderId="0" xfId="0" applyNumberFormat="1" applyFont="1" applyAlignment="1">
      <alignment horizontal="left" vertical="center" indent="1"/>
    </xf>
    <xf numFmtId="177" fontId="0" fillId="0" borderId="0" xfId="0" applyNumberFormat="1" applyAlignment="1" applyProtection="1">
      <alignment horizontal="center" vertical="center"/>
      <protection locked="0"/>
    </xf>
    <xf numFmtId="173" fontId="29" fillId="0" borderId="0" xfId="0" applyNumberFormat="1" applyFont="1" applyAlignment="1">
      <alignment horizontal="left" vertical="center" indent="1"/>
    </xf>
    <xf numFmtId="177" fontId="0" fillId="52" borderId="72" xfId="0" applyNumberFormat="1" applyFill="1" applyBorder="1" applyAlignment="1">
      <alignment horizontal="right" vertical="center"/>
    </xf>
    <xf numFmtId="0" fontId="0" fillId="116" borderId="0" xfId="0" applyFill="1" applyAlignment="1">
      <alignment horizontal="left" vertical="top"/>
    </xf>
    <xf numFmtId="0" fontId="0" fillId="3" borderId="10" xfId="0" applyFill="1" applyBorder="1" applyAlignment="1">
      <alignment horizontal="left"/>
    </xf>
    <xf numFmtId="0" fontId="0" fillId="3" borderId="0" xfId="0" applyFill="1" applyAlignment="1">
      <alignment horizontal="left"/>
    </xf>
    <xf numFmtId="0" fontId="0" fillId="3" borderId="89" xfId="0" applyFill="1" applyBorder="1" applyAlignment="1">
      <alignment horizontal="left"/>
    </xf>
    <xf numFmtId="0" fontId="0" fillId="3" borderId="128" xfId="0" applyFill="1" applyBorder="1" applyAlignment="1">
      <alignment horizontal="left"/>
    </xf>
    <xf numFmtId="0" fontId="248" fillId="116" borderId="0" xfId="0" applyFont="1" applyFill="1" applyAlignment="1">
      <alignment vertical="top"/>
    </xf>
    <xf numFmtId="177" fontId="0" fillId="52" borderId="63" xfId="0" applyNumberFormat="1" applyFill="1" applyBorder="1" applyAlignment="1">
      <alignment horizontal="right" vertical="top"/>
    </xf>
    <xf numFmtId="177" fontId="0" fillId="51" borderId="63" xfId="0" applyNumberFormat="1" applyFill="1" applyBorder="1" applyAlignment="1">
      <alignment horizontal="right" vertical="top"/>
    </xf>
    <xf numFmtId="177" fontId="8" fillId="51" borderId="71" xfId="1" applyNumberFormat="1" applyFont="1" applyFill="1" applyBorder="1" applyAlignment="1">
      <alignment horizontal="right"/>
    </xf>
    <xf numFmtId="0" fontId="0" fillId="52" borderId="21" xfId="0" applyFill="1" applyBorder="1"/>
    <xf numFmtId="0" fontId="0" fillId="52" borderId="10" xfId="0" applyFill="1" applyBorder="1" applyAlignment="1">
      <alignment horizontal="center" wrapText="1"/>
    </xf>
    <xf numFmtId="0" fontId="0" fillId="52" borderId="0" xfId="0" applyFill="1"/>
    <xf numFmtId="0" fontId="0" fillId="52" borderId="11" xfId="0" applyFill="1" applyBorder="1"/>
    <xf numFmtId="3" fontId="0" fillId="52" borderId="11" xfId="0" applyNumberFormat="1" applyFill="1" applyBorder="1"/>
    <xf numFmtId="0" fontId="0" fillId="52" borderId="89" xfId="0" applyFill="1" applyBorder="1" applyAlignment="1">
      <alignment horizontal="center" wrapText="1"/>
    </xf>
    <xf numFmtId="0" fontId="0" fillId="52" borderId="128" xfId="0" applyFill="1" applyBorder="1"/>
    <xf numFmtId="3" fontId="0" fillId="52" borderId="90" xfId="0" applyNumberFormat="1" applyFill="1" applyBorder="1"/>
    <xf numFmtId="183" fontId="0" fillId="52" borderId="6" xfId="0" applyNumberFormat="1" applyFill="1" applyBorder="1" applyAlignment="1">
      <alignment horizontal="right" vertical="top"/>
    </xf>
    <xf numFmtId="14" fontId="10" fillId="51" borderId="0" xfId="2" applyNumberFormat="1" applyFont="1" applyFill="1" applyBorder="1" applyAlignment="1">
      <alignment horizontal="center" vertical="center"/>
    </xf>
    <xf numFmtId="173" fontId="279" fillId="48" borderId="0" xfId="94" applyFont="1">
      <alignment vertical="center"/>
    </xf>
    <xf numFmtId="0" fontId="26" fillId="0" borderId="0" xfId="0" applyFont="1" applyAlignment="1">
      <alignment horizontal="left" vertical="top"/>
    </xf>
    <xf numFmtId="170" fontId="10" fillId="51" borderId="6" xfId="1" applyNumberFormat="1" applyFont="1" applyFill="1" applyBorder="1"/>
    <xf numFmtId="177" fontId="10" fillId="3" borderId="76" xfId="2" applyNumberFormat="1" applyFont="1" applyFill="1" applyBorder="1"/>
    <xf numFmtId="177" fontId="11" fillId="3" borderId="74" xfId="2" applyNumberFormat="1" applyFont="1" applyFill="1" applyBorder="1"/>
    <xf numFmtId="351" fontId="11" fillId="52" borderId="71" xfId="2" applyNumberFormat="1" applyFont="1" applyFill="1" applyBorder="1"/>
    <xf numFmtId="177" fontId="0" fillId="131" borderId="69" xfId="0" applyNumberFormat="1" applyFill="1" applyBorder="1" applyAlignment="1">
      <alignment horizontal="right" vertical="top"/>
    </xf>
    <xf numFmtId="178" fontId="277" fillId="0" borderId="0" xfId="75" applyNumberFormat="1" applyFont="1" applyAlignment="1">
      <alignment horizontal="center" vertical="center"/>
    </xf>
    <xf numFmtId="178" fontId="277" fillId="0" borderId="0" xfId="75" applyNumberFormat="1" applyFont="1" applyAlignment="1">
      <alignment horizontal="center"/>
    </xf>
    <xf numFmtId="177" fontId="0" fillId="131" borderId="62" xfId="0" applyNumberFormat="1" applyFill="1" applyBorder="1" applyAlignment="1">
      <alignment horizontal="right" vertical="top"/>
    </xf>
    <xf numFmtId="3" fontId="10" fillId="51" borderId="0" xfId="1" applyNumberFormat="1" applyFont="1" applyFill="1" applyBorder="1" applyAlignment="1" applyProtection="1">
      <alignment horizontal="left" indent="1"/>
    </xf>
    <xf numFmtId="170" fontId="0" fillId="51" borderId="59" xfId="1" applyNumberFormat="1" applyFont="1" applyFill="1" applyBorder="1" applyAlignment="1">
      <alignment horizontal="right" vertical="top"/>
    </xf>
    <xf numFmtId="173" fontId="10" fillId="0" borderId="0" xfId="0" applyNumberFormat="1" applyFont="1" applyAlignment="1">
      <alignment vertical="center"/>
    </xf>
    <xf numFmtId="0" fontId="8" fillId="0" borderId="0" xfId="0" applyFont="1" applyAlignment="1">
      <alignment vertical="top"/>
    </xf>
    <xf numFmtId="173" fontId="10" fillId="3" borderId="0" xfId="0" applyNumberFormat="1" applyFont="1" applyFill="1" applyAlignment="1">
      <alignment horizontal="left" vertical="center" indent="1"/>
    </xf>
    <xf numFmtId="177" fontId="10" fillId="52" borderId="62" xfId="2" applyNumberFormat="1" applyFont="1" applyFill="1" applyBorder="1"/>
    <xf numFmtId="0" fontId="11" fillId="0" borderId="0" xfId="0" applyFont="1" applyAlignment="1">
      <alignment horizontal="left" vertical="top" indent="1"/>
    </xf>
    <xf numFmtId="177" fontId="0" fillId="51" borderId="93" xfId="0" applyNumberFormat="1" applyFill="1" applyBorder="1" applyAlignment="1">
      <alignment horizontal="right" vertical="top"/>
    </xf>
    <xf numFmtId="177" fontId="11" fillId="52" borderId="74" xfId="2" applyNumberFormat="1" applyFont="1" applyFill="1" applyBorder="1"/>
    <xf numFmtId="177" fontId="10" fillId="131" borderId="71" xfId="2" applyNumberFormat="1" applyFont="1" applyFill="1" applyBorder="1"/>
    <xf numFmtId="0" fontId="282" fillId="0" borderId="0" xfId="0" applyFont="1"/>
    <xf numFmtId="0" fontId="283" fillId="0" borderId="0" xfId="0" applyFont="1"/>
    <xf numFmtId="0" fontId="2" fillId="0" borderId="163" xfId="51691" applyBorder="1"/>
    <xf numFmtId="0" fontId="2" fillId="0" borderId="0" xfId="51691"/>
    <xf numFmtId="0" fontId="273" fillId="0" borderId="0" xfId="51691" applyFont="1" applyAlignment="1">
      <alignment horizontal="center" vertical="top" wrapText="1"/>
    </xf>
    <xf numFmtId="0" fontId="273" fillId="135" borderId="6" xfId="51691" applyFont="1" applyFill="1" applyBorder="1" applyAlignment="1">
      <alignment horizontal="center" vertical="top"/>
    </xf>
    <xf numFmtId="0" fontId="273" fillId="0" borderId="0" xfId="51691" applyFont="1" applyAlignment="1">
      <alignment horizontal="center" vertical="top"/>
    </xf>
    <xf numFmtId="0" fontId="273" fillId="0" borderId="0" xfId="51691" applyFont="1" applyAlignment="1">
      <alignment horizontal="center" vertical="center" wrapText="1"/>
    </xf>
    <xf numFmtId="0" fontId="275" fillId="0" borderId="0" xfId="51691" applyFont="1" applyAlignment="1">
      <alignment horizontal="center" vertical="center" wrapText="1"/>
    </xf>
    <xf numFmtId="0" fontId="281" fillId="0" borderId="0" xfId="51691" applyFont="1" applyAlignment="1">
      <alignment vertical="top"/>
    </xf>
    <xf numFmtId="0" fontId="2" fillId="0" borderId="0" xfId="51691" applyAlignment="1">
      <alignment horizontal="left" vertical="top"/>
    </xf>
    <xf numFmtId="9" fontId="274" fillId="131" borderId="6" xfId="51692" applyFont="1" applyFill="1" applyBorder="1" applyAlignment="1">
      <alignment horizontal="center"/>
    </xf>
    <xf numFmtId="9" fontId="274" fillId="0" borderId="0" xfId="51692" applyFont="1" applyFill="1" applyBorder="1" applyAlignment="1">
      <alignment horizontal="center"/>
    </xf>
    <xf numFmtId="9" fontId="0" fillId="0" borderId="0" xfId="51692" applyFont="1" applyFill="1" applyBorder="1" applyAlignment="1">
      <alignment horizontal="center"/>
    </xf>
    <xf numFmtId="0" fontId="2" fillId="0" borderId="0" xfId="51691" applyAlignment="1">
      <alignment horizontal="left"/>
    </xf>
    <xf numFmtId="0" fontId="276" fillId="0" borderId="10" xfId="51691" applyFont="1" applyBorder="1" applyAlignment="1">
      <alignment horizontal="left"/>
    </xf>
    <xf numFmtId="0" fontId="2" fillId="0" borderId="0" xfId="51691" applyAlignment="1">
      <alignment vertical="center"/>
    </xf>
    <xf numFmtId="178" fontId="2" fillId="0" borderId="0" xfId="51691" applyNumberFormat="1" applyAlignment="1">
      <alignment horizontal="center" vertical="center"/>
    </xf>
    <xf numFmtId="178" fontId="2" fillId="0" borderId="0" xfId="51691" applyNumberFormat="1" applyAlignment="1">
      <alignment horizontal="center"/>
    </xf>
    <xf numFmtId="0" fontId="275" fillId="0" borderId="10" xfId="51691" applyFont="1" applyBorder="1"/>
    <xf numFmtId="178" fontId="280" fillId="0" borderId="0" xfId="75" applyNumberFormat="1" applyFont="1" applyAlignment="1">
      <alignment horizontal="center" vertical="center"/>
    </xf>
    <xf numFmtId="178" fontId="276" fillId="0" borderId="0" xfId="51691" applyNumberFormat="1" applyFont="1" applyAlignment="1">
      <alignment horizontal="center"/>
    </xf>
    <xf numFmtId="0" fontId="276" fillId="0" borderId="11" xfId="51691" applyFont="1" applyBorder="1"/>
    <xf numFmtId="0" fontId="276" fillId="0" borderId="0" xfId="51691" applyFont="1" applyAlignment="1">
      <alignment horizontal="left" vertical="center"/>
    </xf>
    <xf numFmtId="0" fontId="276" fillId="0" borderId="0" xfId="51691" applyFont="1" applyAlignment="1">
      <alignment horizontal="left"/>
    </xf>
    <xf numFmtId="0" fontId="273" fillId="0" borderId="10" xfId="51691" applyFont="1" applyBorder="1" applyAlignment="1">
      <alignment horizontal="left"/>
    </xf>
    <xf numFmtId="0" fontId="276" fillId="0" borderId="11" xfId="51691" applyFont="1" applyBorder="1" applyAlignment="1">
      <alignment horizontal="left"/>
    </xf>
    <xf numFmtId="0" fontId="276" fillId="0" borderId="10" xfId="51691" applyFont="1" applyBorder="1" applyAlignment="1">
      <alignment vertical="center"/>
    </xf>
    <xf numFmtId="0" fontId="276" fillId="0" borderId="10" xfId="51691" quotePrefix="1" applyFont="1" applyBorder="1" applyAlignment="1">
      <alignment vertical="center"/>
    </xf>
    <xf numFmtId="178" fontId="274" fillId="0" borderId="21" xfId="75" applyNumberFormat="1" applyFont="1" applyBorder="1" applyAlignment="1">
      <alignment horizontal="center" vertical="center"/>
    </xf>
    <xf numFmtId="183" fontId="273" fillId="131" borderId="6" xfId="51691" applyNumberFormat="1" applyFont="1" applyFill="1" applyBorder="1" applyAlignment="1">
      <alignment horizontal="center"/>
    </xf>
    <xf numFmtId="183" fontId="273" fillId="0" borderId="0" xfId="51691" applyNumberFormat="1" applyFont="1" applyAlignment="1">
      <alignment horizontal="center"/>
    </xf>
    <xf numFmtId="0" fontId="284" fillId="52" borderId="120" xfId="51691" applyFont="1" applyFill="1" applyBorder="1" applyAlignment="1">
      <alignment vertical="center"/>
    </xf>
    <xf numFmtId="0" fontId="284" fillId="52" borderId="123" xfId="51691" applyFont="1" applyFill="1" applyBorder="1" applyAlignment="1">
      <alignment vertical="center"/>
    </xf>
    <xf numFmtId="178" fontId="284" fillId="52" borderId="6" xfId="51691" applyNumberFormat="1" applyFont="1" applyFill="1" applyBorder="1" applyAlignment="1">
      <alignment horizontal="center" vertical="center"/>
    </xf>
    <xf numFmtId="178" fontId="284" fillId="0" borderId="10" xfId="51691" applyNumberFormat="1" applyFont="1" applyBorder="1" applyAlignment="1">
      <alignment horizontal="center" vertical="center"/>
    </xf>
    <xf numFmtId="178" fontId="286" fillId="0" borderId="11" xfId="75" applyNumberFormat="1" applyFont="1" applyBorder="1" applyAlignment="1">
      <alignment horizontal="center" vertical="center"/>
    </xf>
    <xf numFmtId="0" fontId="2" fillId="0" borderId="0" xfId="51691" quotePrefix="1"/>
    <xf numFmtId="0" fontId="2" fillId="0" borderId="0" xfId="51691" applyAlignment="1">
      <alignment horizontal="center"/>
    </xf>
    <xf numFmtId="0" fontId="276" fillId="0" borderId="0" xfId="51691" applyFont="1" applyAlignment="1">
      <alignment horizontal="center"/>
    </xf>
    <xf numFmtId="0" fontId="0" fillId="136" borderId="0" xfId="0" applyFill="1" applyAlignment="1">
      <alignment horizontal="left" vertical="top" indent="1"/>
    </xf>
    <xf numFmtId="177" fontId="25" fillId="39" borderId="6" xfId="75" applyNumberFormat="1" applyFont="1" applyFill="1" applyBorder="1"/>
    <xf numFmtId="0" fontId="276" fillId="0" borderId="10" xfId="51691" quotePrefix="1" applyFont="1" applyBorder="1" applyAlignment="1">
      <alignment horizontal="left" vertical="center"/>
    </xf>
    <xf numFmtId="354" fontId="10" fillId="0" borderId="0" xfId="2" applyNumberFormat="1" applyFont="1" applyFill="1" applyBorder="1" applyAlignment="1">
      <alignment horizontal="center"/>
    </xf>
    <xf numFmtId="177" fontId="11" fillId="52" borderId="164" xfId="2" applyNumberFormat="1" applyFont="1" applyFill="1" applyBorder="1"/>
    <xf numFmtId="177" fontId="11" fillId="52" borderId="123" xfId="2" applyNumberFormat="1" applyFont="1" applyFill="1" applyBorder="1"/>
    <xf numFmtId="354" fontId="10" fillId="54" borderId="71" xfId="2" applyNumberFormat="1" applyFont="1" applyFill="1" applyBorder="1" applyAlignment="1">
      <alignment horizontal="center"/>
    </xf>
    <xf numFmtId="354" fontId="10" fillId="54" borderId="164" xfId="2" applyNumberFormat="1" applyFont="1" applyFill="1" applyBorder="1" applyAlignment="1">
      <alignment horizontal="center"/>
    </xf>
    <xf numFmtId="354" fontId="10" fillId="54" borderId="123" xfId="2" applyNumberFormat="1" applyFont="1" applyFill="1" applyBorder="1" applyAlignment="1">
      <alignment horizontal="center"/>
    </xf>
    <xf numFmtId="0" fontId="276" fillId="0" borderId="10" xfId="51691" applyFont="1" applyBorder="1" applyAlignment="1">
      <alignment horizontal="left" vertical="center"/>
    </xf>
    <xf numFmtId="0" fontId="276" fillId="0" borderId="11" xfId="51691" applyFont="1" applyBorder="1" applyAlignment="1">
      <alignment horizontal="left" vertical="center"/>
    </xf>
    <xf numFmtId="0" fontId="275" fillId="0" borderId="10" xfId="51691" applyFont="1" applyBorder="1" applyAlignment="1">
      <alignment horizontal="left"/>
    </xf>
    <xf numFmtId="0" fontId="275" fillId="0" borderId="11" xfId="51691" applyFont="1" applyBorder="1" applyAlignment="1">
      <alignment horizontal="left"/>
    </xf>
    <xf numFmtId="3" fontId="10" fillId="51" borderId="0" xfId="77" applyNumberFormat="1" applyFont="1" applyFill="1" applyBorder="1" applyAlignment="1" applyProtection="1">
      <alignment horizontal="left" indent="1"/>
    </xf>
    <xf numFmtId="14" fontId="280" fillId="36" borderId="6" xfId="75" applyNumberFormat="1" applyFont="1" applyFill="1" applyBorder="1" applyAlignment="1">
      <alignment horizontal="center" vertical="center"/>
    </xf>
    <xf numFmtId="0" fontId="275" fillId="0" borderId="120" xfId="51691" applyFont="1" applyBorder="1" applyAlignment="1">
      <alignment horizontal="left" vertical="center"/>
    </xf>
    <xf numFmtId="0" fontId="276" fillId="0" borderId="123" xfId="51691" applyFont="1" applyBorder="1" applyAlignment="1">
      <alignment horizontal="left" vertical="center"/>
    </xf>
    <xf numFmtId="178" fontId="273" fillId="52" borderId="6" xfId="51691" applyNumberFormat="1" applyFont="1" applyFill="1" applyBorder="1" applyAlignment="1">
      <alignment horizontal="center" vertical="center"/>
    </xf>
    <xf numFmtId="0" fontId="275" fillId="0" borderId="10" xfId="51691" applyFont="1" applyBorder="1" applyAlignment="1">
      <alignment horizontal="left" vertical="center"/>
    </xf>
    <xf numFmtId="178" fontId="273" fillId="0" borderId="28" xfId="51691" applyNumberFormat="1" applyFont="1" applyBorder="1" applyAlignment="1">
      <alignment horizontal="center" vertical="center"/>
    </xf>
    <xf numFmtId="0" fontId="273" fillId="0" borderId="120" xfId="51691" applyFont="1" applyBorder="1" applyAlignment="1">
      <alignment horizontal="left" vertical="center"/>
    </xf>
    <xf numFmtId="0" fontId="275" fillId="0" borderId="0" xfId="51691" applyFont="1" applyAlignment="1">
      <alignment horizontal="left" vertical="center"/>
    </xf>
    <xf numFmtId="178" fontId="280" fillId="52" borderId="6" xfId="75" applyNumberFormat="1" applyFont="1" applyFill="1" applyBorder="1" applyAlignment="1">
      <alignment horizontal="center" vertical="center"/>
    </xf>
    <xf numFmtId="0" fontId="273" fillId="52" borderId="120" xfId="51691" applyFont="1" applyFill="1" applyBorder="1" applyAlignment="1">
      <alignment vertical="center"/>
    </xf>
    <xf numFmtId="0" fontId="276" fillId="0" borderId="89" xfId="51691" applyFont="1" applyBorder="1" applyAlignment="1">
      <alignment horizontal="left" vertical="center"/>
    </xf>
    <xf numFmtId="0" fontId="276" fillId="0" borderId="90" xfId="51691" applyFont="1" applyBorder="1" applyAlignment="1">
      <alignment horizontal="left" vertical="center"/>
    </xf>
    <xf numFmtId="0" fontId="273" fillId="52" borderId="120" xfId="51691" applyFont="1" applyFill="1" applyBorder="1" applyAlignment="1">
      <alignment horizontal="left" vertical="center"/>
    </xf>
    <xf numFmtId="0" fontId="285" fillId="0" borderId="0" xfId="51691" applyFont="1" applyAlignment="1">
      <alignment vertical="center"/>
    </xf>
    <xf numFmtId="177" fontId="10" fillId="0" borderId="0" xfId="2" applyNumberFormat="1" applyFont="1"/>
    <xf numFmtId="352" fontId="2" fillId="0" borderId="0" xfId="51691" applyNumberFormat="1" applyAlignment="1">
      <alignment vertical="center"/>
    </xf>
    <xf numFmtId="0" fontId="2" fillId="0" borderId="0" xfId="51691" applyAlignment="1">
      <alignment vertical="center" wrapText="1"/>
    </xf>
    <xf numFmtId="0" fontId="1" fillId="0" borderId="0" xfId="51691" applyFont="1" applyAlignment="1">
      <alignment vertical="center"/>
    </xf>
    <xf numFmtId="178" fontId="287" fillId="0" borderId="0" xfId="75" applyNumberFormat="1" applyFont="1" applyAlignment="1">
      <alignment horizontal="center" vertical="center"/>
    </xf>
    <xf numFmtId="0" fontId="2" fillId="0" borderId="6" xfId="51691" applyBorder="1" applyAlignment="1">
      <alignment vertical="center" wrapText="1"/>
    </xf>
    <xf numFmtId="178" fontId="273" fillId="0" borderId="0" xfId="51691" applyNumberFormat="1" applyFont="1" applyAlignment="1">
      <alignment horizontal="center" vertical="center"/>
    </xf>
    <xf numFmtId="352" fontId="2" fillId="0" borderId="0" xfId="51691" applyNumberFormat="1"/>
    <xf numFmtId="0" fontId="2" fillId="0" borderId="0" xfId="51691" applyAlignment="1">
      <alignment wrapText="1"/>
    </xf>
    <xf numFmtId="0" fontId="2" fillId="0" borderId="10" xfId="51691" applyBorder="1"/>
    <xf numFmtId="0" fontId="2" fillId="0" borderId="11" xfId="51691" applyBorder="1"/>
    <xf numFmtId="0" fontId="1" fillId="0" borderId="6" xfId="51691" applyFont="1" applyBorder="1" applyAlignment="1">
      <alignment vertical="center" wrapText="1"/>
    </xf>
    <xf numFmtId="0" fontId="2" fillId="0" borderId="11" xfId="51691" applyBorder="1" applyAlignment="1">
      <alignment vertical="center"/>
    </xf>
    <xf numFmtId="178" fontId="2" fillId="0" borderId="11" xfId="51691" applyNumberFormat="1" applyBorder="1" applyAlignment="1">
      <alignment horizontal="center" vertical="center"/>
    </xf>
    <xf numFmtId="178" fontId="2" fillId="0" borderId="163" xfId="51691" applyNumberFormat="1" applyBorder="1" applyAlignment="1">
      <alignment horizontal="center" vertical="center"/>
    </xf>
    <xf numFmtId="178" fontId="2" fillId="0" borderId="128" xfId="51691" applyNumberFormat="1" applyBorder="1" applyAlignment="1">
      <alignment horizontal="center"/>
    </xf>
    <xf numFmtId="178" fontId="287" fillId="0" borderId="11" xfId="75" applyNumberFormat="1" applyFont="1" applyBorder="1" applyAlignment="1">
      <alignment horizontal="center" vertical="center"/>
    </xf>
    <xf numFmtId="0" fontId="2" fillId="0" borderId="0" xfId="51691" applyAlignment="1">
      <alignment horizontal="left" vertical="center"/>
    </xf>
    <xf numFmtId="178" fontId="2" fillId="0" borderId="21" xfId="51691" applyNumberFormat="1" applyBorder="1" applyAlignment="1">
      <alignment horizontal="center" vertical="center"/>
    </xf>
    <xf numFmtId="0" fontId="2" fillId="0" borderId="10" xfId="51691" applyBorder="1" applyAlignment="1">
      <alignment horizontal="left" vertical="center"/>
    </xf>
    <xf numFmtId="0" fontId="2" fillId="0" borderId="11" xfId="51691" applyBorder="1" applyAlignment="1">
      <alignment horizontal="left" vertical="center"/>
    </xf>
    <xf numFmtId="0" fontId="2" fillId="0" borderId="11" xfId="51691" applyBorder="1" applyAlignment="1">
      <alignment horizontal="left"/>
    </xf>
    <xf numFmtId="0" fontId="2" fillId="0" borderId="128" xfId="51691" applyBorder="1" applyAlignment="1">
      <alignment wrapText="1"/>
    </xf>
    <xf numFmtId="0" fontId="2" fillId="52" borderId="123" xfId="51691" applyFill="1" applyBorder="1" applyAlignment="1">
      <alignment vertical="center"/>
    </xf>
    <xf numFmtId="178" fontId="2" fillId="0" borderId="10" xfId="51691" applyNumberFormat="1" applyBorder="1" applyAlignment="1">
      <alignment horizontal="center" vertical="center"/>
    </xf>
    <xf numFmtId="0" fontId="2" fillId="0" borderId="89" xfId="51691" applyBorder="1" applyAlignment="1">
      <alignment horizontal="left"/>
    </xf>
    <xf numFmtId="0" fontId="2" fillId="0" borderId="90" xfId="51691" applyBorder="1" applyAlignment="1">
      <alignment horizontal="left"/>
    </xf>
    <xf numFmtId="0" fontId="2" fillId="52" borderId="123" xfId="51691" applyFill="1" applyBorder="1" applyAlignment="1">
      <alignment horizontal="left" vertical="center"/>
    </xf>
    <xf numFmtId="178" fontId="1" fillId="52" borderId="6" xfId="51691" applyNumberFormat="1" applyFont="1" applyFill="1" applyBorder="1" applyAlignment="1">
      <alignment horizontal="center" vertical="center"/>
    </xf>
    <xf numFmtId="0" fontId="273" fillId="52" borderId="6" xfId="51691" applyFont="1" applyFill="1" applyBorder="1" applyAlignment="1">
      <alignment horizontal="center" vertical="top"/>
    </xf>
    <xf numFmtId="178" fontId="274" fillId="52" borderId="6" xfId="75" applyNumberFormat="1" applyFont="1" applyFill="1" applyBorder="1" applyAlignment="1">
      <alignment horizontal="center" vertical="center"/>
    </xf>
    <xf numFmtId="0" fontId="263" fillId="47" borderId="165" xfId="90" applyFont="1" applyFill="1" applyBorder="1" applyAlignment="1">
      <alignment horizontal="left"/>
    </xf>
    <xf numFmtId="0" fontId="263" fillId="47" borderId="163" xfId="90" applyFont="1" applyFill="1" applyBorder="1" applyAlignment="1">
      <alignment horizontal="left"/>
    </xf>
    <xf numFmtId="0" fontId="263" fillId="47" borderId="105" xfId="90" applyFont="1" applyFill="1" applyBorder="1" applyAlignment="1">
      <alignment horizontal="left"/>
    </xf>
    <xf numFmtId="0" fontId="273" fillId="135" borderId="165" xfId="51691" applyFont="1" applyFill="1" applyBorder="1" applyAlignment="1">
      <alignment horizontal="center" vertical="center" wrapText="1"/>
    </xf>
    <xf numFmtId="2" fontId="274" fillId="0" borderId="21" xfId="75" applyNumberFormat="1" applyFont="1" applyBorder="1" applyAlignment="1">
      <alignment horizontal="center"/>
    </xf>
    <xf numFmtId="0" fontId="0" fillId="3" borderId="21" xfId="0" applyFill="1" applyBorder="1" applyAlignment="1">
      <alignment wrapText="1"/>
    </xf>
    <xf numFmtId="0" fontId="272" fillId="116" borderId="0" xfId="0" applyFont="1" applyFill="1" applyAlignment="1">
      <alignment horizontal="left" vertical="top"/>
    </xf>
    <xf numFmtId="0" fontId="0" fillId="116" borderId="0" xfId="0" applyFill="1" applyAlignment="1">
      <alignment horizontal="left" vertical="top" indent="1"/>
    </xf>
    <xf numFmtId="0" fontId="263" fillId="47" borderId="166" xfId="90" applyFont="1" applyFill="1" applyBorder="1" applyAlignment="1">
      <alignment horizontal="left"/>
    </xf>
    <xf numFmtId="0" fontId="262" fillId="47" borderId="167" xfId="0" applyFont="1" applyFill="1" applyBorder="1" applyAlignment="1">
      <alignment wrapText="1"/>
    </xf>
    <xf numFmtId="0" fontId="0" fillId="52" borderId="166" xfId="0" applyFill="1" applyBorder="1" applyAlignment="1">
      <alignment horizontal="center" wrapText="1"/>
    </xf>
    <xf numFmtId="0" fontId="0" fillId="52" borderId="167" xfId="0" applyFill="1" applyBorder="1"/>
    <xf numFmtId="0" fontId="31" fillId="47" borderId="167" xfId="75" applyFont="1" applyFill="1" applyBorder="1"/>
    <xf numFmtId="0" fontId="0" fillId="47" borderId="167" xfId="0" applyFill="1" applyBorder="1"/>
    <xf numFmtId="0" fontId="29" fillId="0" borderId="166" xfId="0" applyFont="1" applyBorder="1"/>
    <xf numFmtId="0" fontId="0" fillId="3" borderId="21" xfId="0" applyFill="1" applyBorder="1"/>
    <xf numFmtId="0" fontId="0" fillId="3" borderId="167" xfId="0" applyFill="1" applyBorder="1"/>
    <xf numFmtId="0" fontId="32" fillId="47" borderId="167" xfId="75" applyFont="1" applyFill="1" applyBorder="1"/>
    <xf numFmtId="0" fontId="265" fillId="47" borderId="166" xfId="90" applyFont="1" applyFill="1" applyBorder="1" applyAlignment="1">
      <alignment horizontal="left"/>
    </xf>
    <xf numFmtId="0" fontId="273" fillId="135" borderId="167" xfId="51691" applyFont="1" applyFill="1" applyBorder="1" applyAlignment="1">
      <alignment horizontal="center" vertical="top" wrapText="1"/>
    </xf>
    <xf numFmtId="0" fontId="276" fillId="0" borderId="166" xfId="51691" applyFont="1" applyBorder="1" applyAlignment="1">
      <alignment horizontal="left"/>
    </xf>
    <xf numFmtId="0" fontId="276" fillId="0" borderId="167" xfId="51691" applyFont="1" applyBorder="1" applyAlignment="1">
      <alignment horizontal="left" vertical="center"/>
    </xf>
    <xf numFmtId="0" fontId="1" fillId="0" borderId="0" xfId="51691" applyFont="1"/>
    <xf numFmtId="0" fontId="1" fillId="42" borderId="0" xfId="51691" applyFont="1" applyFill="1" applyAlignment="1">
      <alignment vertical="center"/>
    </xf>
    <xf numFmtId="0" fontId="273" fillId="0" borderId="166" xfId="51691" applyFont="1" applyBorder="1" applyAlignment="1">
      <alignment horizontal="left" vertical="center"/>
    </xf>
    <xf numFmtId="0" fontId="273" fillId="0" borderId="166" xfId="51691" applyFont="1" applyBorder="1" applyAlignment="1">
      <alignment horizontal="left"/>
    </xf>
    <xf numFmtId="0" fontId="276" fillId="0" borderId="167" xfId="51691" applyFont="1" applyBorder="1" applyAlignment="1">
      <alignment horizontal="left"/>
    </xf>
    <xf numFmtId="0" fontId="2" fillId="0" borderId="167" xfId="51691" applyBorder="1" applyAlignment="1">
      <alignment horizontal="left" vertical="center"/>
    </xf>
    <xf numFmtId="0" fontId="0" fillId="3" borderId="166" xfId="0" applyFill="1" applyBorder="1" applyAlignment="1">
      <alignment vertical="top" wrapText="1"/>
    </xf>
    <xf numFmtId="0" fontId="0" fillId="3" borderId="21" xfId="0" applyFill="1" applyBorder="1" applyAlignment="1">
      <alignment vertical="top" wrapText="1"/>
    </xf>
    <xf numFmtId="0" fontId="0" fillId="3" borderId="167" xfId="0" applyFill="1" applyBorder="1" applyAlignment="1">
      <alignment wrapText="1"/>
    </xf>
    <xf numFmtId="14" fontId="10" fillId="3" borderId="6" xfId="2" applyNumberFormat="1" applyFont="1" applyFill="1" applyBorder="1" applyAlignment="1">
      <alignment horizontal="center" vertical="center"/>
    </xf>
    <xf numFmtId="0" fontId="0" fillId="3" borderId="6" xfId="0" applyFill="1" applyBorder="1" applyAlignment="1">
      <alignment wrapText="1"/>
    </xf>
    <xf numFmtId="178" fontId="10" fillId="131" borderId="6" xfId="75" applyNumberFormat="1" applyFont="1" applyFill="1" applyBorder="1"/>
    <xf numFmtId="178" fontId="10" fillId="40" borderId="6" xfId="75" applyNumberFormat="1" applyFont="1" applyFill="1" applyBorder="1"/>
    <xf numFmtId="0" fontId="0" fillId="0" borderId="0" xfId="0" applyAlignment="1">
      <alignment horizontal="center"/>
    </xf>
    <xf numFmtId="0" fontId="0" fillId="53" borderId="0" xfId="0" applyFill="1" applyAlignment="1">
      <alignment horizontal="left" wrapText="1"/>
    </xf>
    <xf numFmtId="0" fontId="0" fillId="0" borderId="99" xfId="0" applyBorder="1" applyAlignment="1">
      <alignment horizontal="left" vertical="center" wrapText="1" indent="1"/>
    </xf>
    <xf numFmtId="0" fontId="0" fillId="0" borderId="79" xfId="0" applyBorder="1" applyAlignment="1">
      <alignment horizontal="left" vertical="center" wrapText="1" indent="1"/>
    </xf>
    <xf numFmtId="0" fontId="0" fillId="0" borderId="97" xfId="0" applyBorder="1" applyAlignment="1">
      <alignment horizontal="left" vertical="center" wrapText="1" indent="1"/>
    </xf>
    <xf numFmtId="0" fontId="0" fillId="0" borderId="80" xfId="0" applyBorder="1" applyAlignment="1">
      <alignment horizontal="left" vertical="center" wrapText="1" indent="1"/>
    </xf>
    <xf numFmtId="0" fontId="0" fillId="0" borderId="120" xfId="0" applyBorder="1" applyAlignment="1">
      <alignment vertical="center" wrapText="1"/>
    </xf>
    <xf numFmtId="0" fontId="0" fillId="0" borderId="28" xfId="0" applyBorder="1" applyAlignment="1">
      <alignment vertical="center" wrapText="1"/>
    </xf>
    <xf numFmtId="0" fontId="0" fillId="0" borderId="123" xfId="0" applyBorder="1" applyAlignment="1">
      <alignment vertical="center" wrapText="1"/>
    </xf>
    <xf numFmtId="0" fontId="0" fillId="0" borderId="100" xfId="0" applyBorder="1" applyAlignment="1">
      <alignment vertical="center" wrapText="1"/>
    </xf>
    <xf numFmtId="0" fontId="0" fillId="0" borderId="83" xfId="0" applyBorder="1" applyAlignment="1">
      <alignment vertical="center" wrapText="1"/>
    </xf>
    <xf numFmtId="0" fontId="0" fillId="0" borderId="96" xfId="0" applyBorder="1" applyAlignment="1">
      <alignment vertical="center" wrapText="1"/>
    </xf>
    <xf numFmtId="0" fontId="0" fillId="0" borderId="97" xfId="0" applyBorder="1" applyAlignment="1">
      <alignment vertical="center" wrapText="1"/>
    </xf>
    <xf numFmtId="0" fontId="0" fillId="0" borderId="98" xfId="0" applyBorder="1" applyAlignment="1">
      <alignment vertical="center" wrapText="1"/>
    </xf>
    <xf numFmtId="0" fontId="0" fillId="0" borderId="92" xfId="0" applyBorder="1" applyAlignment="1">
      <alignment vertical="center" wrapText="1"/>
    </xf>
    <xf numFmtId="0" fontId="0" fillId="0" borderId="100" xfId="0" applyBorder="1" applyAlignment="1">
      <alignment horizontal="left" vertical="center" wrapText="1" indent="1"/>
    </xf>
    <xf numFmtId="0" fontId="0" fillId="0" borderId="78" xfId="0" applyBorder="1" applyAlignment="1">
      <alignment horizontal="left" vertical="center" wrapText="1" indent="1"/>
    </xf>
    <xf numFmtId="3" fontId="0" fillId="0" borderId="120" xfId="0" applyNumberFormat="1" applyBorder="1" applyAlignment="1">
      <alignment horizontal="center" vertical="center" wrapText="1"/>
    </xf>
    <xf numFmtId="3" fontId="0" fillId="0" borderId="6" xfId="0" applyNumberFormat="1" applyBorder="1" applyAlignment="1">
      <alignment horizontal="center" vertical="center" wrapText="1"/>
    </xf>
    <xf numFmtId="178" fontId="0" fillId="117" borderId="100" xfId="0" applyNumberFormat="1" applyFill="1" applyBorder="1" applyAlignment="1">
      <alignment horizontal="center"/>
    </xf>
    <xf numFmtId="178" fontId="0" fillId="117" borderId="95" xfId="0" applyNumberFormat="1" applyFill="1" applyBorder="1" applyAlignment="1">
      <alignment horizontal="center"/>
    </xf>
    <xf numFmtId="178" fontId="0" fillId="117" borderId="61" xfId="0" applyNumberFormat="1" applyFill="1" applyBorder="1" applyAlignment="1">
      <alignment horizontal="center"/>
    </xf>
    <xf numFmtId="1" fontId="8" fillId="0" borderId="142" xfId="0" applyNumberFormat="1" applyFont="1" applyBorder="1" applyAlignment="1">
      <alignment horizontal="center" vertical="center"/>
    </xf>
    <xf numFmtId="1" fontId="8" fillId="0" borderId="143" xfId="0" applyNumberFormat="1" applyFont="1" applyBorder="1" applyAlignment="1">
      <alignment horizontal="center" vertical="center"/>
    </xf>
    <xf numFmtId="1" fontId="8" fillId="0" borderId="144" xfId="0" applyNumberFormat="1" applyFont="1" applyBorder="1" applyAlignment="1">
      <alignment horizontal="center" vertical="center"/>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20" xfId="0" applyBorder="1" applyAlignment="1">
      <alignment horizontal="center" vertical="center" wrapText="1"/>
    </xf>
    <xf numFmtId="0" fontId="0" fillId="0" borderId="6" xfId="0" applyBorder="1" applyAlignment="1">
      <alignment horizontal="center" vertical="center" wrapText="1"/>
    </xf>
    <xf numFmtId="0" fontId="0" fillId="0" borderId="99" xfId="0" applyBorder="1" applyAlignment="1">
      <alignment horizontal="left" vertical="center" wrapText="1"/>
    </xf>
    <xf numFmtId="0" fontId="0" fillId="0" borderId="79" xfId="0" applyBorder="1" applyAlignment="1">
      <alignment horizontal="left" vertical="center" wrapText="1"/>
    </xf>
    <xf numFmtId="0" fontId="0" fillId="0" borderId="100" xfId="0" applyBorder="1" applyAlignment="1">
      <alignment horizontal="left" vertical="center" wrapText="1"/>
    </xf>
    <xf numFmtId="0" fontId="0" fillId="0" borderId="78" xfId="0" applyBorder="1" applyAlignment="1">
      <alignment horizontal="left" vertical="center" wrapText="1"/>
    </xf>
    <xf numFmtId="0" fontId="0" fillId="0" borderId="97" xfId="0" applyBorder="1" applyAlignment="1">
      <alignment horizontal="left" vertical="center" wrapText="1"/>
    </xf>
    <xf numFmtId="0" fontId="0" fillId="0" borderId="80" xfId="0" applyBorder="1" applyAlignment="1">
      <alignment horizontal="left" vertical="center" wrapText="1"/>
    </xf>
    <xf numFmtId="0" fontId="0" fillId="0" borderId="0" xfId="0" applyAlignment="1">
      <alignment horizontal="left" vertical="center" wrapText="1"/>
    </xf>
    <xf numFmtId="0" fontId="0" fillId="0" borderId="28" xfId="0" applyBorder="1" applyAlignment="1">
      <alignment horizontal="center" vertical="center" wrapText="1"/>
    </xf>
    <xf numFmtId="0" fontId="0" fillId="0" borderId="123" xfId="0" applyBorder="1" applyAlignment="1">
      <alignment horizontal="center" vertical="center" wrapText="1"/>
    </xf>
    <xf numFmtId="0" fontId="0" fillId="0" borderId="161" xfId="0" applyBorder="1" applyAlignment="1">
      <alignment horizontal="left" vertical="center" wrapText="1" indent="1"/>
    </xf>
    <xf numFmtId="0" fontId="0" fillId="0" borderId="162" xfId="0" applyBorder="1" applyAlignment="1">
      <alignment horizontal="left" vertical="center" wrapText="1" indent="1"/>
    </xf>
    <xf numFmtId="0" fontId="0" fillId="0" borderId="0" xfId="0" applyAlignment="1">
      <alignment horizontal="left" vertical="center" wrapText="1" indent="1"/>
    </xf>
    <xf numFmtId="0" fontId="10" fillId="36" borderId="6" xfId="75" applyFont="1" applyFill="1" applyBorder="1" applyAlignment="1">
      <alignment horizontal="left" vertical="top" wrapText="1"/>
    </xf>
    <xf numFmtId="0" fontId="0" fillId="0" borderId="6" xfId="0" applyBorder="1" applyAlignment="1">
      <alignment horizontal="left" vertical="top" wrapText="1"/>
    </xf>
    <xf numFmtId="0" fontId="33" fillId="0" borderId="6" xfId="75" applyFont="1" applyBorder="1" applyAlignment="1">
      <alignment horizontal="center" vertical="center" wrapText="1"/>
    </xf>
    <xf numFmtId="0" fontId="0" fillId="0" borderId="6" xfId="0" applyBorder="1" applyAlignment="1">
      <alignment wrapText="1"/>
    </xf>
    <xf numFmtId="0" fontId="0" fillId="3" borderId="166" xfId="0" applyFill="1" applyBorder="1" applyAlignment="1">
      <alignment horizontal="left" vertical="top" wrapText="1"/>
    </xf>
    <xf numFmtId="0" fontId="0" fillId="3" borderId="21" xfId="0" applyFill="1" applyBorder="1" applyAlignment="1">
      <alignment wrapText="1"/>
    </xf>
    <xf numFmtId="0" fontId="0" fillId="3" borderId="167" xfId="0" applyFill="1" applyBorder="1" applyAlignment="1">
      <alignment wrapText="1"/>
    </xf>
    <xf numFmtId="0" fontId="0" fillId="3" borderId="0" xfId="0" applyFill="1" applyAlignment="1">
      <alignment horizontal="left" vertical="top" indent="1"/>
    </xf>
    <xf numFmtId="0" fontId="248" fillId="116" borderId="0" xfId="0" applyFont="1" applyFill="1" applyAlignment="1">
      <alignment horizontal="left" vertical="top" wrapText="1"/>
    </xf>
    <xf numFmtId="178" fontId="2" fillId="0" borderId="6" xfId="51691" applyNumberFormat="1" applyBorder="1" applyAlignment="1">
      <alignment horizontal="left"/>
    </xf>
    <xf numFmtId="0" fontId="275" fillId="0" borderId="10" xfId="51691" applyFont="1" applyBorder="1" applyAlignment="1">
      <alignment horizontal="left"/>
    </xf>
    <xf numFmtId="0" fontId="275" fillId="0" borderId="11" xfId="51691" applyFont="1" applyBorder="1" applyAlignment="1">
      <alignment horizontal="left"/>
    </xf>
    <xf numFmtId="0" fontId="276" fillId="0" borderId="10" xfId="51691" applyFont="1" applyBorder="1" applyAlignment="1">
      <alignment horizontal="left" vertical="center"/>
    </xf>
    <xf numFmtId="0" fontId="276" fillId="0" borderId="11" xfId="51691" applyFont="1" applyBorder="1" applyAlignment="1">
      <alignment horizontal="left" vertical="center"/>
    </xf>
    <xf numFmtId="0" fontId="276" fillId="0" borderId="89" xfId="51691" applyFont="1" applyBorder="1" applyAlignment="1">
      <alignment horizontal="left" vertical="center"/>
    </xf>
    <xf numFmtId="0" fontId="276" fillId="0" borderId="90" xfId="51691" applyFont="1" applyBorder="1" applyAlignment="1">
      <alignment horizontal="left" vertical="center"/>
    </xf>
    <xf numFmtId="0" fontId="2" fillId="0" borderId="10" xfId="51691" applyBorder="1" applyAlignment="1">
      <alignment horizontal="center"/>
    </xf>
    <xf numFmtId="0" fontId="2" fillId="0" borderId="11" xfId="51691" applyBorder="1" applyAlignment="1">
      <alignment horizontal="center"/>
    </xf>
    <xf numFmtId="0" fontId="273" fillId="52" borderId="120" xfId="51691" applyFont="1" applyFill="1" applyBorder="1" applyAlignment="1">
      <alignment horizontal="left" vertical="center"/>
    </xf>
    <xf numFmtId="0" fontId="273" fillId="52" borderId="123" xfId="51691" applyFont="1" applyFill="1" applyBorder="1" applyAlignment="1">
      <alignment horizontal="left" vertical="center"/>
    </xf>
    <xf numFmtId="0" fontId="273" fillId="135" borderId="165" xfId="51691" applyFont="1" applyFill="1" applyBorder="1" applyAlignment="1">
      <alignment horizontal="center" vertical="center" wrapText="1"/>
    </xf>
    <xf numFmtId="0" fontId="273" fillId="135" borderId="105" xfId="51691" applyFont="1" applyFill="1" applyBorder="1" applyAlignment="1">
      <alignment horizontal="center" vertical="center" wrapText="1"/>
    </xf>
    <xf numFmtId="0" fontId="2" fillId="0" borderId="120" xfId="51691" applyBorder="1" applyAlignment="1">
      <alignment horizontal="left"/>
    </xf>
    <xf numFmtId="0" fontId="2" fillId="0" borderId="123" xfId="51691" applyBorder="1" applyAlignment="1">
      <alignment horizontal="left"/>
    </xf>
    <xf numFmtId="0" fontId="248" fillId="116" borderId="128" xfId="0" applyFont="1" applyFill="1" applyBorder="1" applyAlignment="1">
      <alignment horizontal="left" vertical="top" wrapText="1"/>
    </xf>
    <xf numFmtId="0" fontId="273" fillId="135" borderId="21" xfId="51691" applyFont="1" applyFill="1" applyBorder="1" applyAlignment="1">
      <alignment horizontal="center" vertical="center" wrapText="1"/>
    </xf>
    <xf numFmtId="0" fontId="273" fillId="135" borderId="167" xfId="51691" applyFont="1" applyFill="1" applyBorder="1" applyAlignment="1">
      <alignment horizontal="center" vertical="center" wrapText="1"/>
    </xf>
    <xf numFmtId="0" fontId="273" fillId="135" borderId="128" xfId="51691" applyFont="1" applyFill="1" applyBorder="1" applyAlignment="1">
      <alignment horizontal="center" vertical="center" wrapText="1"/>
    </xf>
    <xf numFmtId="0" fontId="273" fillId="135" borderId="90" xfId="51691" applyFont="1" applyFill="1" applyBorder="1" applyAlignment="1">
      <alignment horizontal="center" vertical="center" wrapText="1"/>
    </xf>
    <xf numFmtId="0" fontId="275" fillId="135" borderId="165" xfId="51691" applyFont="1" applyFill="1" applyBorder="1" applyAlignment="1">
      <alignment horizontal="center" vertical="center" wrapText="1"/>
    </xf>
    <xf numFmtId="0" fontId="275" fillId="135" borderId="105" xfId="51691" applyFont="1" applyFill="1" applyBorder="1" applyAlignment="1">
      <alignment horizontal="center" vertical="center" wrapText="1"/>
    </xf>
    <xf numFmtId="0" fontId="0" fillId="134" borderId="120" xfId="0" applyFill="1" applyBorder="1" applyAlignment="1">
      <alignment horizontal="center"/>
    </xf>
    <xf numFmtId="0" fontId="0" fillId="134" borderId="28" xfId="0" applyFill="1" applyBorder="1" applyAlignment="1">
      <alignment horizontal="center"/>
    </xf>
    <xf numFmtId="0" fontId="0" fillId="134" borderId="123" xfId="0" applyFill="1" applyBorder="1" applyAlignment="1">
      <alignment horizontal="center"/>
    </xf>
    <xf numFmtId="0" fontId="0" fillId="53" borderId="165" xfId="0" applyFill="1" applyBorder="1" applyAlignment="1">
      <alignment horizontal="center" vertical="top" wrapText="1"/>
    </xf>
    <xf numFmtId="0" fontId="0" fillId="53" borderId="163" xfId="0" applyFill="1" applyBorder="1" applyAlignment="1">
      <alignment horizontal="center" vertical="top" wrapText="1"/>
    </xf>
    <xf numFmtId="0" fontId="0" fillId="53" borderId="105" xfId="0" applyFill="1" applyBorder="1" applyAlignment="1">
      <alignment horizontal="center" vertical="top" wrapText="1"/>
    </xf>
    <xf numFmtId="178" fontId="11" fillId="38" borderId="71" xfId="1" applyNumberFormat="1" applyFont="1" applyFill="1" applyBorder="1"/>
  </cellXfs>
  <cellStyles count="51693">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5"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4" xr:uid="{00000000-0005-0000-0000-000017010000}"/>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48" xr:uid="{00000000-0005-0000-0000-000034010000}"/>
    <cellStyle name="% 2 2 3" xfId="404" xr:uid="{00000000-0005-0000-0000-000035010000}"/>
    <cellStyle name="% 2 2 3 2" xfId="405" xr:uid="{00000000-0005-0000-0000-000036010000}"/>
    <cellStyle name="% 2 2 4" xfId="48247"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6"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49"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1" xr:uid="{00000000-0005-0000-0000-000040020000}"/>
    <cellStyle name="% 4 3" xfId="668" xr:uid="{00000000-0005-0000-0000-000041020000}"/>
    <cellStyle name="% 4 3 2" xfId="48252" xr:uid="{00000000-0005-0000-0000-000042020000}"/>
    <cellStyle name="% 4 4" xfId="669" xr:uid="{00000000-0005-0000-0000-000043020000}"/>
    <cellStyle name="% 4 4 2" xfId="48253" xr:uid="{00000000-0005-0000-0000-000044020000}"/>
    <cellStyle name="% 4 5" xfId="670" xr:uid="{00000000-0005-0000-0000-000045020000}"/>
    <cellStyle name="% 4 5 2" xfId="48254" xr:uid="{00000000-0005-0000-0000-000046020000}"/>
    <cellStyle name="% 4 6" xfId="671" xr:uid="{00000000-0005-0000-0000-000047020000}"/>
    <cellStyle name="% 4 6 2" xfId="48255" xr:uid="{00000000-0005-0000-0000-000048020000}"/>
    <cellStyle name="% 4 7" xfId="672" xr:uid="{00000000-0005-0000-0000-000049020000}"/>
    <cellStyle name="% 4 7 2" xfId="48256" xr:uid="{00000000-0005-0000-0000-00004A020000}"/>
    <cellStyle name="% 4 8" xfId="673" xr:uid="{00000000-0005-0000-0000-00004B020000}"/>
    <cellStyle name="% 4 8 2" xfId="48257" xr:uid="{00000000-0005-0000-0000-00004C020000}"/>
    <cellStyle name="% 4 9" xfId="48250"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59" xr:uid="{00000000-0005-0000-0000-0000CA020000}"/>
    <cellStyle name="%_3.3 Tax 3" xfId="798" xr:uid="{00000000-0005-0000-0000-0000CB020000}"/>
    <cellStyle name="%_3.3 Tax 4" xfId="48258"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0"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1"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2"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3"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4"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5"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6"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67" xr:uid="{00000000-0005-0000-0000-000056030000}"/>
    <cellStyle name="_0708 GSO Capex RRP (detail)" xfId="927" xr:uid="{00000000-0005-0000-0000-000057030000}"/>
    <cellStyle name="_0708 GSO Capex RRP (detail) 2" xfId="48269" xr:uid="{00000000-0005-0000-0000-000058030000}"/>
    <cellStyle name="_0708 GSO Capex RRP (detail) 2 2" xfId="48270" xr:uid="{00000000-0005-0000-0000-000059030000}"/>
    <cellStyle name="_0708 GSO Capex RRP (detail) 2 3" xfId="48271" xr:uid="{00000000-0005-0000-0000-00005A030000}"/>
    <cellStyle name="_0708 GSO Capex RRP (detail) 2 4" xfId="48272" xr:uid="{00000000-0005-0000-0000-00005B030000}"/>
    <cellStyle name="_0708 GSO Capex RRP (detail) 2 5" xfId="48273" xr:uid="{00000000-0005-0000-0000-00005C030000}"/>
    <cellStyle name="_0708 GSO Capex RRP (detail) 2 6" xfId="48274" xr:uid="{00000000-0005-0000-0000-00005D030000}"/>
    <cellStyle name="_0708 GSO Capex RRP (detail) 2 7" xfId="48275" xr:uid="{00000000-0005-0000-0000-00005E030000}"/>
    <cellStyle name="_0708 GSO Capex RRP (detail) 2 8" xfId="48276" xr:uid="{00000000-0005-0000-0000-00005F030000}"/>
    <cellStyle name="_0708 GSO Capex RRP (detail) 3" xfId="48268" xr:uid="{00000000-0005-0000-0000-000060030000}"/>
    <cellStyle name="_0708 GSO Capex RRP (detail)_Opex Input" xfId="48277"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78"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0" xr:uid="{00000000-0005-0000-0000-00009F030000}"/>
    <cellStyle name="_Book4 2 2" xfId="48281" xr:uid="{00000000-0005-0000-0000-0000A0030000}"/>
    <cellStyle name="_Book4 2 3" xfId="48282" xr:uid="{00000000-0005-0000-0000-0000A1030000}"/>
    <cellStyle name="_Book4 2 4" xfId="48283" xr:uid="{00000000-0005-0000-0000-0000A2030000}"/>
    <cellStyle name="_Book4 2 5" xfId="48284" xr:uid="{00000000-0005-0000-0000-0000A3030000}"/>
    <cellStyle name="_Book4 2 6" xfId="48285" xr:uid="{00000000-0005-0000-0000-0000A4030000}"/>
    <cellStyle name="_Book4 2 7" xfId="48286" xr:uid="{00000000-0005-0000-0000-0000A5030000}"/>
    <cellStyle name="_Book4 2 8" xfId="48287" xr:uid="{00000000-0005-0000-0000-0000A6030000}"/>
    <cellStyle name="_Book4 3" xfId="48279"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88" xr:uid="{00000000-0005-0000-0000-0000B2030000}"/>
    <cellStyle name="_BP10+post TIC 1 Jun" xfId="998" xr:uid="{00000000-0005-0000-0000-0000B3030000}"/>
    <cellStyle name="_BP10+post TIC 1 Jun 2" xfId="48290" xr:uid="{00000000-0005-0000-0000-0000B4030000}"/>
    <cellStyle name="_BP10+post TIC 1 Jun 2 2" xfId="48291" xr:uid="{00000000-0005-0000-0000-0000B5030000}"/>
    <cellStyle name="_BP10+post TIC 1 Jun 2 3" xfId="48292" xr:uid="{00000000-0005-0000-0000-0000B6030000}"/>
    <cellStyle name="_BP10+post TIC 1 Jun 2 4" xfId="48293" xr:uid="{00000000-0005-0000-0000-0000B7030000}"/>
    <cellStyle name="_BP10+post TIC 1 Jun 2 5" xfId="48294" xr:uid="{00000000-0005-0000-0000-0000B8030000}"/>
    <cellStyle name="_BP10+post TIC 1 Jun 2 6" xfId="48295" xr:uid="{00000000-0005-0000-0000-0000B9030000}"/>
    <cellStyle name="_BP10+post TIC 1 Jun 2 7" xfId="48296" xr:uid="{00000000-0005-0000-0000-0000BA030000}"/>
    <cellStyle name="_BP10+post TIC 1 Jun 2 8" xfId="48297" xr:uid="{00000000-0005-0000-0000-0000BB030000}"/>
    <cellStyle name="_BP10+post TIC 1 Jun 3" xfId="48289"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298" xr:uid="{00000000-0005-0000-0000-0000CB030000}"/>
    <cellStyle name="_Capital Plan - IS UK_0910 GSO Capex RRP - Final (Detail) v2 220710" xfId="1013" xr:uid="{00000000-0005-0000-0000-0000CC030000}"/>
    <cellStyle name="_Capital Plan - IS UK_0910 GSO Capex RRP - Final (Detail) v2 220710 2" xfId="48300" xr:uid="{00000000-0005-0000-0000-0000CD030000}"/>
    <cellStyle name="_Capital Plan - IS UK_0910 GSO Capex RRP - Final (Detail) v2 220710 2 2" xfId="48301" xr:uid="{00000000-0005-0000-0000-0000CE030000}"/>
    <cellStyle name="_Capital Plan - IS UK_0910 GSO Capex RRP - Final (Detail) v2 220710 2 3" xfId="48302" xr:uid="{00000000-0005-0000-0000-0000CF030000}"/>
    <cellStyle name="_Capital Plan - IS UK_0910 GSO Capex RRP - Final (Detail) v2 220710 2 4" xfId="48303" xr:uid="{00000000-0005-0000-0000-0000D0030000}"/>
    <cellStyle name="_Capital Plan - IS UK_0910 GSO Capex RRP - Final (Detail) v2 220710 2 5" xfId="48304" xr:uid="{00000000-0005-0000-0000-0000D1030000}"/>
    <cellStyle name="_Capital Plan - IS UK_0910 GSO Capex RRP - Final (Detail) v2 220710 2 6" xfId="48305" xr:uid="{00000000-0005-0000-0000-0000D2030000}"/>
    <cellStyle name="_Capital Plan - IS UK_0910 GSO Capex RRP - Final (Detail) v2 220710 2 7" xfId="48306" xr:uid="{00000000-0005-0000-0000-0000D3030000}"/>
    <cellStyle name="_Capital Plan - IS UK_0910 GSO Capex RRP - Final (Detail) v2 220710 2 8" xfId="48307" xr:uid="{00000000-0005-0000-0000-0000D4030000}"/>
    <cellStyle name="_Capital Plan - IS UK_0910 GSO Capex RRP - Final (Detail) v2 220710 3" xfId="48299" xr:uid="{00000000-0005-0000-0000-0000D5030000}"/>
    <cellStyle name="_Capital Plan - IS UK_0910 GSO Capex RRP - Final (Detail) v2 220710_Opex Input" xfId="48308"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0" xr:uid="{00000000-0005-0000-0000-000010040000}"/>
    <cellStyle name="_Gas TO major Projects Forecast Jun-10 2 2" xfId="48311" xr:uid="{00000000-0005-0000-0000-000011040000}"/>
    <cellStyle name="_Gas TO major Projects Forecast Jun-10 2 3" xfId="48312" xr:uid="{00000000-0005-0000-0000-000012040000}"/>
    <cellStyle name="_Gas TO major Projects Forecast Jun-10 2 4" xfId="48313" xr:uid="{00000000-0005-0000-0000-000013040000}"/>
    <cellStyle name="_Gas TO major Projects Forecast Jun-10 2 5" xfId="48314" xr:uid="{00000000-0005-0000-0000-000014040000}"/>
    <cellStyle name="_Gas TO major Projects Forecast Jun-10 2 6" xfId="48315" xr:uid="{00000000-0005-0000-0000-000015040000}"/>
    <cellStyle name="_Gas TO major Projects Forecast Jun-10 2 7" xfId="48316" xr:uid="{00000000-0005-0000-0000-000016040000}"/>
    <cellStyle name="_Gas TO major Projects Forecast Jun-10 2 8" xfId="48317" xr:uid="{00000000-0005-0000-0000-000017040000}"/>
    <cellStyle name="_Gas TO major Projects Forecast Jun-10 3" xfId="48309" xr:uid="{00000000-0005-0000-0000-000018040000}"/>
    <cellStyle name="_Gas TO major Projects Forecast May-10 BP10+ v5" xfId="1071" xr:uid="{00000000-0005-0000-0000-000019040000}"/>
    <cellStyle name="_Gas TO major Projects Forecast May-10 BP10+ v5 2" xfId="48319" xr:uid="{00000000-0005-0000-0000-00001A040000}"/>
    <cellStyle name="_Gas TO major Projects Forecast May-10 BP10+ v5 2 2" xfId="48320" xr:uid="{00000000-0005-0000-0000-00001B040000}"/>
    <cellStyle name="_Gas TO major Projects Forecast May-10 BP10+ v5 2 3" xfId="48321" xr:uid="{00000000-0005-0000-0000-00001C040000}"/>
    <cellStyle name="_Gas TO major Projects Forecast May-10 BP10+ v5 2 4" xfId="48322" xr:uid="{00000000-0005-0000-0000-00001D040000}"/>
    <cellStyle name="_Gas TO major Projects Forecast May-10 BP10+ v5 2 5" xfId="48323" xr:uid="{00000000-0005-0000-0000-00001E040000}"/>
    <cellStyle name="_Gas TO major Projects Forecast May-10 BP10+ v5 2 6" xfId="48324" xr:uid="{00000000-0005-0000-0000-00001F040000}"/>
    <cellStyle name="_Gas TO major Projects Forecast May-10 BP10+ v5 2 7" xfId="48325" xr:uid="{00000000-0005-0000-0000-000020040000}"/>
    <cellStyle name="_Gas TO major Projects Forecast May-10 BP10+ v5 2 8" xfId="48326" xr:uid="{00000000-0005-0000-0000-000021040000}"/>
    <cellStyle name="_Gas TO major Projects Forecast May-10 BP10+ v5 3" xfId="48318"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27"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28"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29" xr:uid="{00000000-0005-0000-0000-0000C5040000}"/>
    <cellStyle name="=C:\WINNT\SYSTEM32\COMMAND.COM 12" xfId="1232" xr:uid="{00000000-0005-0000-0000-0000C6040000}"/>
    <cellStyle name="=C:\WINNT\SYSTEM32\COMMAND.COM 12 2" xfId="1233" xr:uid="{00000000-0005-0000-0000-0000C7040000}"/>
    <cellStyle name="=C:\WINNT\SYSTEM32\COMMAND.COM 12 3" xfId="48330" xr:uid="{00000000-0005-0000-0000-0000C8040000}"/>
    <cellStyle name="=C:\WINNT\SYSTEM32\COMMAND.COM 13" xfId="1234" xr:uid="{00000000-0005-0000-0000-0000C9040000}"/>
    <cellStyle name="=C:\WINNT\SYSTEM32\COMMAND.COM 13 2" xfId="48331" xr:uid="{00000000-0005-0000-0000-0000CA040000}"/>
    <cellStyle name="=C:\WINNT\SYSTEM32\COMMAND.COM 14" xfId="1235" xr:uid="{00000000-0005-0000-0000-0000CB040000}"/>
    <cellStyle name="=C:\WINNT\SYSTEM32\COMMAND.COM 14 2" xfId="48332" xr:uid="{00000000-0005-0000-0000-0000CC040000}"/>
    <cellStyle name="=C:\WINNT\SYSTEM32\COMMAND.COM 15" xfId="1236" xr:uid="{00000000-0005-0000-0000-0000CD040000}"/>
    <cellStyle name="=C:\WINNT\SYSTEM32\COMMAND.COM 15 2" xfId="48333" xr:uid="{00000000-0005-0000-0000-0000CE040000}"/>
    <cellStyle name="=C:\WINNT\SYSTEM32\COMMAND.COM 16" xfId="1237" xr:uid="{00000000-0005-0000-0000-0000CF040000}"/>
    <cellStyle name="=C:\WINNT\SYSTEM32\COMMAND.COM 16 2" xfId="48334" xr:uid="{00000000-0005-0000-0000-0000D0040000}"/>
    <cellStyle name="=C:\WINNT\SYSTEM32\COMMAND.COM 17" xfId="1238" xr:uid="{00000000-0005-0000-0000-0000D1040000}"/>
    <cellStyle name="=C:\WINNT\SYSTEM32\COMMAND.COM 17 2" xfId="48335" xr:uid="{00000000-0005-0000-0000-0000D2040000}"/>
    <cellStyle name="=C:\WINNT\SYSTEM32\COMMAND.COM 18" xfId="1239" xr:uid="{00000000-0005-0000-0000-0000D3040000}"/>
    <cellStyle name="=C:\WINNT\SYSTEM32\COMMAND.COM 18 2" xfId="48336" xr:uid="{00000000-0005-0000-0000-0000D4040000}"/>
    <cellStyle name="=C:\WINNT\SYSTEM32\COMMAND.COM 19" xfId="1240" xr:uid="{00000000-0005-0000-0000-0000D5040000}"/>
    <cellStyle name="=C:\WINNT\SYSTEM32\COMMAND.COM 19 2" xfId="48337" xr:uid="{00000000-0005-0000-0000-0000D6040000}"/>
    <cellStyle name="=C:\WINNT\SYSTEM32\COMMAND.COM 2" xfId="1241" xr:uid="{00000000-0005-0000-0000-0000D7040000}"/>
    <cellStyle name="=C:\WINNT\SYSTEM32\COMMAND.COM 2 10" xfId="49399"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0" xr:uid="{00000000-0005-0000-0000-0000E6040000}"/>
    <cellStyle name="=C:\WINNT\SYSTEM32\COMMAND.COM 2 2 2 3" xfId="48341" xr:uid="{00000000-0005-0000-0000-0000E7040000}"/>
    <cellStyle name="=C:\WINNT\SYSTEM32\COMMAND.COM 2 2 2 4" xfId="48339"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2"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38"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3" xr:uid="{00000000-0005-0000-0000-000012050000}"/>
    <cellStyle name="=C:\WINNT\SYSTEM32\COMMAND.COM 2 4" xfId="1292" xr:uid="{00000000-0005-0000-0000-000013050000}"/>
    <cellStyle name="=C:\WINNT\SYSTEM32\COMMAND.COM 2 4 2" xfId="49381" xr:uid="{00000000-0005-0000-0000-000014050000}"/>
    <cellStyle name="=C:\WINNT\SYSTEM32\COMMAND.COM 2 5" xfId="1293" xr:uid="{00000000-0005-0000-0000-000015050000}"/>
    <cellStyle name="=C:\WINNT\SYSTEM32\COMMAND.COM 2 5 2" xfId="49396" xr:uid="{00000000-0005-0000-0000-000016050000}"/>
    <cellStyle name="=C:\WINNT\SYSTEM32\COMMAND.COM 2 6" xfId="1294" xr:uid="{00000000-0005-0000-0000-000017050000}"/>
    <cellStyle name="=C:\WINNT\SYSTEM32\COMMAND.COM 2 6 2" xfId="49382" xr:uid="{00000000-0005-0000-0000-000018050000}"/>
    <cellStyle name="=C:\WINNT\SYSTEM32\COMMAND.COM 2 7" xfId="1295" xr:uid="{00000000-0005-0000-0000-000019050000}"/>
    <cellStyle name="=C:\WINNT\SYSTEM32\COMMAND.COM 2 7 2" xfId="49385" xr:uid="{00000000-0005-0000-0000-00001A050000}"/>
    <cellStyle name="=C:\WINNT\SYSTEM32\COMMAND.COM 2 8" xfId="1296" xr:uid="{00000000-0005-0000-0000-00001B050000}"/>
    <cellStyle name="=C:\WINNT\SYSTEM32\COMMAND.COM 2 8 2" xfId="49383" xr:uid="{00000000-0005-0000-0000-00001C050000}"/>
    <cellStyle name="=C:\WINNT\SYSTEM32\COMMAND.COM 2 9" xfId="1297" xr:uid="{00000000-0005-0000-0000-00001D050000}"/>
    <cellStyle name="=C:\WINNT\SYSTEM32\COMMAND.COM 2 9 2" xfId="49384" xr:uid="{00000000-0005-0000-0000-00001E050000}"/>
    <cellStyle name="=C:\WINNT\SYSTEM32\COMMAND.COM 2_Opex Input" xfId="48344" xr:uid="{00000000-0005-0000-0000-00001F050000}"/>
    <cellStyle name="=C:\WINNT\SYSTEM32\COMMAND.COM 20" xfId="1298" xr:uid="{00000000-0005-0000-0000-000020050000}"/>
    <cellStyle name="=C:\WINNT\SYSTEM32\COMMAND.COM 20 2" xfId="48345" xr:uid="{00000000-0005-0000-0000-000021050000}"/>
    <cellStyle name="=C:\WINNT\SYSTEM32\COMMAND.COM 21" xfId="1299" xr:uid="{00000000-0005-0000-0000-000022050000}"/>
    <cellStyle name="=C:\WINNT\SYSTEM32\COMMAND.COM 21 2" xfId="48346" xr:uid="{00000000-0005-0000-0000-000023050000}"/>
    <cellStyle name="=C:\WINNT\SYSTEM32\COMMAND.COM 22" xfId="1300" xr:uid="{00000000-0005-0000-0000-000024050000}"/>
    <cellStyle name="=C:\WINNT\SYSTEM32\COMMAND.COM 22 2" xfId="48347" xr:uid="{00000000-0005-0000-0000-000025050000}"/>
    <cellStyle name="=C:\WINNT\SYSTEM32\COMMAND.COM 23" xfId="1301" xr:uid="{00000000-0005-0000-0000-000026050000}"/>
    <cellStyle name="=C:\WINNT\SYSTEM32\COMMAND.COM 23 2" xfId="48349" xr:uid="{00000000-0005-0000-0000-000027050000}"/>
    <cellStyle name="=C:\WINNT\SYSTEM32\COMMAND.COM 23 3" xfId="48348" xr:uid="{00000000-0005-0000-0000-000028050000}"/>
    <cellStyle name="=C:\WINNT\SYSTEM32\COMMAND.COM 24" xfId="1302" xr:uid="{00000000-0005-0000-0000-000029050000}"/>
    <cellStyle name="=C:\WINNT\SYSTEM32\COMMAND.COM 24 2" xfId="48350" xr:uid="{00000000-0005-0000-0000-00002A050000}"/>
    <cellStyle name="=C:\WINNT\SYSTEM32\COMMAND.COM 25" xfId="1303" xr:uid="{00000000-0005-0000-0000-00002B050000}"/>
    <cellStyle name="=C:\WINNT\SYSTEM32\COMMAND.COM 25 2" xfId="48352" xr:uid="{00000000-0005-0000-0000-00002C050000}"/>
    <cellStyle name="=C:\WINNT\SYSTEM32\COMMAND.COM 25 3" xfId="48353" xr:uid="{00000000-0005-0000-0000-00002D050000}"/>
    <cellStyle name="=C:\WINNT\SYSTEM32\COMMAND.COM 25 4" xfId="48351" xr:uid="{00000000-0005-0000-0000-00002E050000}"/>
    <cellStyle name="=C:\WINNT\SYSTEM32\COMMAND.COM 26" xfId="1304" xr:uid="{00000000-0005-0000-0000-00002F050000}"/>
    <cellStyle name="=C:\WINNT\SYSTEM32\COMMAND.COM 26 2" xfId="48354" xr:uid="{00000000-0005-0000-0000-000030050000}"/>
    <cellStyle name="=C:\WINNT\SYSTEM32\COMMAND.COM 27" xfId="1305" xr:uid="{00000000-0005-0000-0000-000031050000}"/>
    <cellStyle name="=C:\WINNT\SYSTEM32\COMMAND.COM 27 2" xfId="48355" xr:uid="{00000000-0005-0000-0000-000032050000}"/>
    <cellStyle name="=C:\WINNT\SYSTEM32\COMMAND.COM 28" xfId="1306" xr:uid="{00000000-0005-0000-0000-000033050000}"/>
    <cellStyle name="=C:\WINNT\SYSTEM32\COMMAND.COM 28 2" xfId="48356" xr:uid="{00000000-0005-0000-0000-000034050000}"/>
    <cellStyle name="=C:\WINNT\SYSTEM32\COMMAND.COM 29" xfId="1307" xr:uid="{00000000-0005-0000-0000-000035050000}"/>
    <cellStyle name="=C:\WINNT\SYSTEM32\COMMAND.COM 29 2" xfId="48357"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58" xr:uid="{00000000-0005-0000-0000-000040050000}"/>
    <cellStyle name="=C:\WINNT\SYSTEM32\COMMAND.COM 31" xfId="1316" xr:uid="{00000000-0005-0000-0000-000041050000}"/>
    <cellStyle name="=C:\WINNT\SYSTEM32\COMMAND.COM 31 2" xfId="48359" xr:uid="{00000000-0005-0000-0000-000042050000}"/>
    <cellStyle name="=C:\WINNT\SYSTEM32\COMMAND.COM 32" xfId="1317" xr:uid="{00000000-0005-0000-0000-000043050000}"/>
    <cellStyle name="=C:\WINNT\SYSTEM32\COMMAND.COM 32 2" xfId="48360" xr:uid="{00000000-0005-0000-0000-000044050000}"/>
    <cellStyle name="=C:\WINNT\SYSTEM32\COMMAND.COM 33" xfId="1318" xr:uid="{00000000-0005-0000-0000-000045050000}"/>
    <cellStyle name="=C:\WINNT\SYSTEM32\COMMAND.COM 33 2" xfId="48361"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3"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4"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2"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5"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6"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67" xr:uid="{00000000-0005-0000-0000-000052060000}"/>
    <cellStyle name="=C:\WINNT\SYSTEM32\COMMAND.COM 8" xfId="1581" xr:uid="{00000000-0005-0000-0000-000053060000}"/>
    <cellStyle name="=C:\WINNT\SYSTEM32\COMMAND.COM 8 2" xfId="48368" xr:uid="{00000000-0005-0000-0000-000054060000}"/>
    <cellStyle name="=C:\WINNT\SYSTEM32\COMMAND.COM 9" xfId="1582" xr:uid="{00000000-0005-0000-0000-000055060000}"/>
    <cellStyle name="=C:\WINNT\SYSTEM32\COMMAND.COM 9 2" xfId="48369"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0"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1"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2"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3"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4"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5"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6"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77"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78"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79"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0"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1"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2"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3"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4"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5"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6"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87"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88"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89"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0"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1"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2"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3"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4"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5"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6"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397"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398"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399"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0"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1"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2"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3"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4"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5"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6"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07" xr:uid="{00000000-0005-0000-0000-0000E0080000}"/>
    <cellStyle name="Accent1 - 40%" xfId="12" xr:uid="{00000000-0005-0000-0000-0000E1080000}"/>
    <cellStyle name="Accent1 - 40% 2" xfId="2194" xr:uid="{00000000-0005-0000-0000-0000E2080000}"/>
    <cellStyle name="Accent1 - 40% 3" xfId="48408" xr:uid="{00000000-0005-0000-0000-0000E3080000}"/>
    <cellStyle name="Accent1 - 60%" xfId="13" xr:uid="{00000000-0005-0000-0000-0000E4080000}"/>
    <cellStyle name="Accent1 - 60% 2" xfId="48409"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0"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1"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2" xr:uid="{00000000-0005-0000-0000-000008090000}"/>
    <cellStyle name="Accent2 - 40%" xfId="15" xr:uid="{00000000-0005-0000-0000-000009090000}"/>
    <cellStyle name="Accent2 - 40% 2" xfId="2226" xr:uid="{00000000-0005-0000-0000-00000A090000}"/>
    <cellStyle name="Accent2 - 40% 3" xfId="48413" xr:uid="{00000000-0005-0000-0000-00000B090000}"/>
    <cellStyle name="Accent2 - 60%" xfId="16" xr:uid="{00000000-0005-0000-0000-00000C090000}"/>
    <cellStyle name="Accent2 - 60% 2" xfId="48414"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5"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6"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17" xr:uid="{00000000-0005-0000-0000-000030090000}"/>
    <cellStyle name="Accent3 - 40%" xfId="18" xr:uid="{00000000-0005-0000-0000-000031090000}"/>
    <cellStyle name="Accent3 - 40% 2" xfId="2258" xr:uid="{00000000-0005-0000-0000-000032090000}"/>
    <cellStyle name="Accent3 - 40% 3" xfId="48418" xr:uid="{00000000-0005-0000-0000-000033090000}"/>
    <cellStyle name="Accent3 - 60%" xfId="19" xr:uid="{00000000-0005-0000-0000-000034090000}"/>
    <cellStyle name="Accent3 - 60% 2" xfId="48419"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0"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1"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2" xr:uid="{00000000-0005-0000-0000-000058090000}"/>
    <cellStyle name="Accent4 - 40%" xfId="21" xr:uid="{00000000-0005-0000-0000-000059090000}"/>
    <cellStyle name="Accent4 - 40% 2" xfId="2290" xr:uid="{00000000-0005-0000-0000-00005A090000}"/>
    <cellStyle name="Accent4 - 40% 3" xfId="48423" xr:uid="{00000000-0005-0000-0000-00005B090000}"/>
    <cellStyle name="Accent4 - 60%" xfId="22" xr:uid="{00000000-0005-0000-0000-00005C090000}"/>
    <cellStyle name="Accent4 - 60% 2" xfId="48424"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5"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6"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27" xr:uid="{00000000-0005-0000-0000-000080090000}"/>
    <cellStyle name="Accent5 - 40%" xfId="24" xr:uid="{00000000-0005-0000-0000-000081090000}"/>
    <cellStyle name="Accent5 - 40% 2" xfId="2322" xr:uid="{00000000-0005-0000-0000-000082090000}"/>
    <cellStyle name="Accent5 - 40% 3" xfId="48428" xr:uid="{00000000-0005-0000-0000-000083090000}"/>
    <cellStyle name="Accent5 - 60%" xfId="25" xr:uid="{00000000-0005-0000-0000-000084090000}"/>
    <cellStyle name="Accent5 - 60% 2" xfId="48429"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0"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1"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2" xr:uid="{00000000-0005-0000-0000-0000A8090000}"/>
    <cellStyle name="Accent6 - 40%" xfId="27" xr:uid="{00000000-0005-0000-0000-0000A9090000}"/>
    <cellStyle name="Accent6 - 40% 2" xfId="2354" xr:uid="{00000000-0005-0000-0000-0000AA090000}"/>
    <cellStyle name="Accent6 - 40% 3" xfId="48433" xr:uid="{00000000-0005-0000-0000-0000AB090000}"/>
    <cellStyle name="Accent6 - 60%" xfId="28" xr:uid="{00000000-0005-0000-0000-0000AC090000}"/>
    <cellStyle name="Accent6 - 60% 2" xfId="48434"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5"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6"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37"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38"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3" xr:uid="{00000000-0005-0000-0000-00009D0A0000}"/>
    <cellStyle name="Calculation 2 2 2 3" xfId="2590" xr:uid="{00000000-0005-0000-0000-00009E0A0000}"/>
    <cellStyle name="Calculation 2 2 2 3 2" xfId="51420" xr:uid="{00000000-0005-0000-0000-00009F0A0000}"/>
    <cellStyle name="Calculation 2 2 2 4" xfId="49794"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2"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6" xr:uid="{00000000-0005-0000-0000-0000B20A0000}"/>
    <cellStyle name="Calculation 2 2 4" xfId="2607" xr:uid="{00000000-0005-0000-0000-0000B30A0000}"/>
    <cellStyle name="Calculation 2 2 4 2" xfId="51349"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89" xr:uid="{00000000-0005-0000-0000-0000D10A0000}"/>
    <cellStyle name="Calculation 2 3 2 3" xfId="2636" xr:uid="{00000000-0005-0000-0000-0000D20A0000}"/>
    <cellStyle name="Calculation 2 3 2 3 2" xfId="51599" xr:uid="{00000000-0005-0000-0000-0000D30A0000}"/>
    <cellStyle name="Calculation 2 3 2 4" xfId="49921"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6"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3" xr:uid="{00000000-0005-0000-0000-0000E60A0000}"/>
    <cellStyle name="Calculation 2 3 4" xfId="2653" xr:uid="{00000000-0005-0000-0000-0000E70A0000}"/>
    <cellStyle name="Calculation 2 3 4 2" xfId="51499"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39"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6" xr:uid="{00000000-0005-0000-0000-0000030B0000}"/>
    <cellStyle name="Calculation 2 4 2 3" xfId="2679" xr:uid="{00000000-0005-0000-0000-0000040B0000}"/>
    <cellStyle name="Calculation 2 4 2 3 2" xfId="51132" xr:uid="{00000000-0005-0000-0000-0000050B0000}"/>
    <cellStyle name="Calculation 2 4 2 4" xfId="49951"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57"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3" xr:uid="{00000000-0005-0000-0000-0000180B0000}"/>
    <cellStyle name="Calculation 2 4 4" xfId="2696" xr:uid="{00000000-0005-0000-0000-0000190B0000}"/>
    <cellStyle name="Calculation 2 4 4 2" xfId="50897"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0"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1"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29"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1"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07"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6"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1"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0" xr:uid="{00000000-0005-0000-0000-0000740B0000}"/>
    <cellStyle name="Calculation 2 9" xfId="2779" xr:uid="{00000000-0005-0000-0000-0000750B0000}"/>
    <cellStyle name="Calculation 2 9 2" xfId="2780" xr:uid="{00000000-0005-0000-0000-0000760B0000}"/>
    <cellStyle name="Calculation 2 9 3" xfId="51673" xr:uid="{00000000-0005-0000-0000-0000770B0000}"/>
    <cellStyle name="Calculation 3" xfId="2781" xr:uid="{00000000-0005-0000-0000-0000780B0000}"/>
    <cellStyle name="Calculation 3 10" xfId="48440" xr:uid="{00000000-0005-0000-0000-0000790B0000}"/>
    <cellStyle name="Calculation 3 2" xfId="2782" xr:uid="{00000000-0005-0000-0000-00007A0B0000}"/>
    <cellStyle name="Calculation 3 2 2" xfId="2783" xr:uid="{00000000-0005-0000-0000-00007B0B0000}"/>
    <cellStyle name="Calculation 3 2 2 2" xfId="50202" xr:uid="{00000000-0005-0000-0000-00007C0B0000}"/>
    <cellStyle name="Calculation 3 2 2 3" xfId="51391" xr:uid="{00000000-0005-0000-0000-00007D0B0000}"/>
    <cellStyle name="Calculation 3 2 2 4" xfId="49795" xr:uid="{00000000-0005-0000-0000-00007E0B0000}"/>
    <cellStyle name="Calculation 3 2 3" xfId="50571" xr:uid="{00000000-0005-0000-0000-00007F0B0000}"/>
    <cellStyle name="Calculation 3 2 4" xfId="51648" xr:uid="{00000000-0005-0000-0000-0000800B0000}"/>
    <cellStyle name="Calculation 3 2 5" xfId="49467" xr:uid="{00000000-0005-0000-0000-0000810B0000}"/>
    <cellStyle name="Calculation 3 3" xfId="2784" xr:uid="{00000000-0005-0000-0000-0000820B0000}"/>
    <cellStyle name="Calculation 3 3 2" xfId="2785" xr:uid="{00000000-0005-0000-0000-0000830B0000}"/>
    <cellStyle name="Calculation 3 3 2 2" xfId="50827" xr:uid="{00000000-0005-0000-0000-0000840B0000}"/>
    <cellStyle name="Calculation 3 3 2 3" xfId="51153" xr:uid="{00000000-0005-0000-0000-0000850B0000}"/>
    <cellStyle name="Calculation 3 3 2 4" xfId="49920" xr:uid="{00000000-0005-0000-0000-0000860B0000}"/>
    <cellStyle name="Calculation 3 3 3" xfId="50447" xr:uid="{00000000-0005-0000-0000-0000870B0000}"/>
    <cellStyle name="Calculation 3 3 4" xfId="51242" xr:uid="{00000000-0005-0000-0000-0000880B0000}"/>
    <cellStyle name="Calculation 3 3 5" xfId="49592" xr:uid="{00000000-0005-0000-0000-0000890B0000}"/>
    <cellStyle name="Calculation 3 4" xfId="2786" xr:uid="{00000000-0005-0000-0000-00008A0B0000}"/>
    <cellStyle name="Calculation 3 4 2" xfId="49950" xr:uid="{00000000-0005-0000-0000-00008B0B0000}"/>
    <cellStyle name="Calculation 3 4 2 2" xfId="50995" xr:uid="{00000000-0005-0000-0000-00008C0B0000}"/>
    <cellStyle name="Calculation 3 4 2 3" xfId="50933" xr:uid="{00000000-0005-0000-0000-00008D0B0000}"/>
    <cellStyle name="Calculation 3 4 3" xfId="50058" xr:uid="{00000000-0005-0000-0000-00008E0B0000}"/>
    <cellStyle name="Calculation 3 4 4" xfId="50960" xr:uid="{00000000-0005-0000-0000-00008F0B0000}"/>
    <cellStyle name="Calculation 3 4 5" xfId="49622" xr:uid="{00000000-0005-0000-0000-0000900B0000}"/>
    <cellStyle name="Calculation 3 5" xfId="49630" xr:uid="{00000000-0005-0000-0000-0000910B0000}"/>
    <cellStyle name="Calculation 3 5 2" xfId="50927" xr:uid="{00000000-0005-0000-0000-0000920B0000}"/>
    <cellStyle name="Calculation 3 5 3" xfId="51661" xr:uid="{00000000-0005-0000-0000-0000930B0000}"/>
    <cellStyle name="Calculation 3 6" xfId="50043" xr:uid="{00000000-0005-0000-0000-0000940B0000}"/>
    <cellStyle name="Calculation 3 6 2" xfId="51087" xr:uid="{00000000-0005-0000-0000-0000950B0000}"/>
    <cellStyle name="Calculation 3 6 3" xfId="51297" xr:uid="{00000000-0005-0000-0000-0000960B0000}"/>
    <cellStyle name="Calculation 3 7" xfId="50917" xr:uid="{00000000-0005-0000-0000-0000970B0000}"/>
    <cellStyle name="Calculation 3 8" xfId="50866" xr:uid="{00000000-0005-0000-0000-0000980B0000}"/>
    <cellStyle name="Calculation 3 9" xfId="51677"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1"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2"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3"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5" xr:uid="{00000000-0005-0000-0000-0000DE0B0000}"/>
    <cellStyle name="Comma [1] 2 2" xfId="48446" xr:uid="{00000000-0005-0000-0000-0000DF0B0000}"/>
    <cellStyle name="Comma [1] 2 3" xfId="48447" xr:uid="{00000000-0005-0000-0000-0000E00B0000}"/>
    <cellStyle name="Comma [1] 2 4" xfId="48448" xr:uid="{00000000-0005-0000-0000-0000E10B0000}"/>
    <cellStyle name="Comma [1] 2 5" xfId="48449" xr:uid="{00000000-0005-0000-0000-0000E20B0000}"/>
    <cellStyle name="Comma [1] 2 6" xfId="48450" xr:uid="{00000000-0005-0000-0000-0000E30B0000}"/>
    <cellStyle name="Comma [1] 2 7" xfId="48451" xr:uid="{00000000-0005-0000-0000-0000E40B0000}"/>
    <cellStyle name="Comma [1] 2 8" xfId="48452" xr:uid="{00000000-0005-0000-0000-0000E50B0000}"/>
    <cellStyle name="Comma [1] 3" xfId="48444"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3" xr:uid="{00000000-0005-0000-0000-0000ED0B0000}"/>
    <cellStyle name="Comma 10 3" xfId="48453" xr:uid="{00000000-0005-0000-0000-0000EE0B0000}"/>
    <cellStyle name="Comma 11" xfId="2857" xr:uid="{00000000-0005-0000-0000-0000EF0B0000}"/>
    <cellStyle name="Comma 11 2" xfId="50061" xr:uid="{00000000-0005-0000-0000-0000F00B0000}"/>
    <cellStyle name="Comma 11 3" xfId="48240" xr:uid="{00000000-0005-0000-0000-0000F10B0000}"/>
    <cellStyle name="Comma 12" xfId="2858" xr:uid="{00000000-0005-0000-0000-0000F20B0000}"/>
    <cellStyle name="Comma 12 2" xfId="50284" xr:uid="{00000000-0005-0000-0000-0000F30B0000}"/>
    <cellStyle name="Comma 12 3" xfId="48454" xr:uid="{00000000-0005-0000-0000-0000F40B0000}"/>
    <cellStyle name="Comma 13" xfId="2859" xr:uid="{00000000-0005-0000-0000-0000F50B0000}"/>
    <cellStyle name="Comma 13 2" xfId="50285" xr:uid="{00000000-0005-0000-0000-0000F60B0000}"/>
    <cellStyle name="Comma 13 3" xfId="48455" xr:uid="{00000000-0005-0000-0000-0000F70B0000}"/>
    <cellStyle name="Comma 14" xfId="2860" xr:uid="{00000000-0005-0000-0000-0000F80B0000}"/>
    <cellStyle name="Comma 14 2" xfId="50822" xr:uid="{00000000-0005-0000-0000-0000F90B0000}"/>
    <cellStyle name="Comma 15" xfId="2861" xr:uid="{00000000-0005-0000-0000-0000FA0B0000}"/>
    <cellStyle name="Comma 15 2" xfId="50647" xr:uid="{00000000-0005-0000-0000-0000FB0B0000}"/>
    <cellStyle name="Comma 16" xfId="51138" xr:uid="{00000000-0005-0000-0000-0000FC0B0000}"/>
    <cellStyle name="Comma 17" xfId="2862" xr:uid="{00000000-0005-0000-0000-0000FD0B0000}"/>
    <cellStyle name="Comma 17 2" xfId="50789" xr:uid="{00000000-0005-0000-0000-0000FE0B0000}"/>
    <cellStyle name="Comma 18" xfId="2863" xr:uid="{00000000-0005-0000-0000-0000FF0B0000}"/>
    <cellStyle name="Comma 18 2" xfId="51207" xr:uid="{00000000-0005-0000-0000-0000000C0000}"/>
    <cellStyle name="Comma 19" xfId="51671"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57"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87"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88" xr:uid="{00000000-0005-0000-0000-0000210C0000}"/>
    <cellStyle name="Comma 2 11 3" xfId="48458"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89" xr:uid="{00000000-0005-0000-0000-00002E0C0000}"/>
    <cellStyle name="Comma 2 12 3" xfId="48459"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6" xr:uid="{00000000-0005-0000-0000-0000370C0000}"/>
    <cellStyle name="Comma 2 13" xfId="2910" xr:uid="{00000000-0005-0000-0000-0000380C0000}"/>
    <cellStyle name="Comma 2 13 2" xfId="50290" xr:uid="{00000000-0005-0000-0000-0000390C0000}"/>
    <cellStyle name="Comma 2 13 3" xfId="48460" xr:uid="{00000000-0005-0000-0000-00003A0C0000}"/>
    <cellStyle name="Comma 2 14" xfId="2911" xr:uid="{00000000-0005-0000-0000-00003B0C0000}"/>
    <cellStyle name="Comma 2 14 2" xfId="50291" xr:uid="{00000000-0005-0000-0000-00003C0C0000}"/>
    <cellStyle name="Comma 2 14 3" xfId="48461" xr:uid="{00000000-0005-0000-0000-00003D0C0000}"/>
    <cellStyle name="Comma 2 15" xfId="2912" xr:uid="{00000000-0005-0000-0000-00003E0C0000}"/>
    <cellStyle name="Comma 2 15 2" xfId="50292" xr:uid="{00000000-0005-0000-0000-00003F0C0000}"/>
    <cellStyle name="Comma 2 15 3" xfId="48462" xr:uid="{00000000-0005-0000-0000-0000400C0000}"/>
    <cellStyle name="Comma 2 16" xfId="2913" xr:uid="{00000000-0005-0000-0000-0000410C0000}"/>
    <cellStyle name="Comma 2 16 2" xfId="50293" xr:uid="{00000000-0005-0000-0000-0000420C0000}"/>
    <cellStyle name="Comma 2 16 3" xfId="48463" xr:uid="{00000000-0005-0000-0000-0000430C0000}"/>
    <cellStyle name="Comma 2 17" xfId="2914" xr:uid="{00000000-0005-0000-0000-0000440C0000}"/>
    <cellStyle name="Comma 2 17 2" xfId="50294" xr:uid="{00000000-0005-0000-0000-0000450C0000}"/>
    <cellStyle name="Comma 2 17 3" xfId="48464" xr:uid="{00000000-0005-0000-0000-0000460C0000}"/>
    <cellStyle name="Comma 2 18" xfId="2915" xr:uid="{00000000-0005-0000-0000-0000470C0000}"/>
    <cellStyle name="Comma 2 18 2" xfId="50295" xr:uid="{00000000-0005-0000-0000-0000480C0000}"/>
    <cellStyle name="Comma 2 18 3" xfId="48465" xr:uid="{00000000-0005-0000-0000-0000490C0000}"/>
    <cellStyle name="Comma 2 19" xfId="2916" xr:uid="{00000000-0005-0000-0000-00004A0C0000}"/>
    <cellStyle name="Comma 2 19 2" xfId="50296" xr:uid="{00000000-0005-0000-0000-00004B0C0000}"/>
    <cellStyle name="Comma 2 19 3" xfId="48466" xr:uid="{00000000-0005-0000-0000-00004C0C0000}"/>
    <cellStyle name="Comma 2 2" xfId="6" xr:uid="{00000000-0005-0000-0000-00004D0C0000}"/>
    <cellStyle name="Comma 2 2 10" xfId="2917" xr:uid="{00000000-0005-0000-0000-00004E0C0000}"/>
    <cellStyle name="Comma 2 2 10 2" xfId="50298" xr:uid="{00000000-0005-0000-0000-00004F0C0000}"/>
    <cellStyle name="Comma 2 2 10 3" xfId="48468" xr:uid="{00000000-0005-0000-0000-0000500C0000}"/>
    <cellStyle name="Comma 2 2 11" xfId="2918" xr:uid="{00000000-0005-0000-0000-0000510C0000}"/>
    <cellStyle name="Comma 2 2 11 2" xfId="50299" xr:uid="{00000000-0005-0000-0000-0000520C0000}"/>
    <cellStyle name="Comma 2 2 11 3" xfId="48469" xr:uid="{00000000-0005-0000-0000-0000530C0000}"/>
    <cellStyle name="Comma 2 2 12" xfId="2919" xr:uid="{00000000-0005-0000-0000-0000540C0000}"/>
    <cellStyle name="Comma 2 2 12 2" xfId="50300" xr:uid="{00000000-0005-0000-0000-0000550C0000}"/>
    <cellStyle name="Comma 2 2 12 3" xfId="48470" xr:uid="{00000000-0005-0000-0000-0000560C0000}"/>
    <cellStyle name="Comma 2 2 13" xfId="2920" xr:uid="{00000000-0005-0000-0000-0000570C0000}"/>
    <cellStyle name="Comma 2 2 13 2" xfId="50301" xr:uid="{00000000-0005-0000-0000-0000580C0000}"/>
    <cellStyle name="Comma 2 2 13 3" xfId="48471" xr:uid="{00000000-0005-0000-0000-0000590C0000}"/>
    <cellStyle name="Comma 2 2 14" xfId="2921" xr:uid="{00000000-0005-0000-0000-00005A0C0000}"/>
    <cellStyle name="Comma 2 2 14 2" xfId="50302" xr:uid="{00000000-0005-0000-0000-00005B0C0000}"/>
    <cellStyle name="Comma 2 2 14 3" xfId="48472" xr:uid="{00000000-0005-0000-0000-00005C0C0000}"/>
    <cellStyle name="Comma 2 2 15" xfId="2922" xr:uid="{00000000-0005-0000-0000-00005D0C0000}"/>
    <cellStyle name="Comma 2 2 15 2" xfId="50303" xr:uid="{00000000-0005-0000-0000-00005E0C0000}"/>
    <cellStyle name="Comma 2 2 15 3" xfId="48473" xr:uid="{00000000-0005-0000-0000-00005F0C0000}"/>
    <cellStyle name="Comma 2 2 16" xfId="2923" xr:uid="{00000000-0005-0000-0000-0000600C0000}"/>
    <cellStyle name="Comma 2 2 16 2" xfId="50304" xr:uid="{00000000-0005-0000-0000-0000610C0000}"/>
    <cellStyle name="Comma 2 2 16 3" xfId="48474" xr:uid="{00000000-0005-0000-0000-0000620C0000}"/>
    <cellStyle name="Comma 2 2 17" xfId="2924" xr:uid="{00000000-0005-0000-0000-0000630C0000}"/>
    <cellStyle name="Comma 2 2 17 2" xfId="50305" xr:uid="{00000000-0005-0000-0000-0000640C0000}"/>
    <cellStyle name="Comma 2 2 17 3" xfId="48475" xr:uid="{00000000-0005-0000-0000-0000650C0000}"/>
    <cellStyle name="Comma 2 2 18" xfId="2925" xr:uid="{00000000-0005-0000-0000-0000660C0000}"/>
    <cellStyle name="Comma 2 2 18 2" xfId="50306" xr:uid="{00000000-0005-0000-0000-0000670C0000}"/>
    <cellStyle name="Comma 2 2 18 3" xfId="48476" xr:uid="{00000000-0005-0000-0000-0000680C0000}"/>
    <cellStyle name="Comma 2 2 19" xfId="2926" xr:uid="{00000000-0005-0000-0000-0000690C0000}"/>
    <cellStyle name="Comma 2 2 19 2" xfId="50307" xr:uid="{00000000-0005-0000-0000-00006A0C0000}"/>
    <cellStyle name="Comma 2 2 19 3" xfId="48477" xr:uid="{00000000-0005-0000-0000-00006B0C0000}"/>
    <cellStyle name="Comma 2 2 2" xfId="2927" xr:uid="{00000000-0005-0000-0000-00006C0C0000}"/>
    <cellStyle name="Comma 2 2 2 10" xfId="2928" xr:uid="{00000000-0005-0000-0000-00006D0C0000}"/>
    <cellStyle name="Comma 2 2 2 10 2" xfId="48479" xr:uid="{00000000-0005-0000-0000-00006E0C0000}"/>
    <cellStyle name="Comma 2 2 2 11" xfId="2929" xr:uid="{00000000-0005-0000-0000-00006F0C0000}"/>
    <cellStyle name="Comma 2 2 2 11 2" xfId="48480" xr:uid="{00000000-0005-0000-0000-0000700C0000}"/>
    <cellStyle name="Comma 2 2 2 12" xfId="2930" xr:uid="{00000000-0005-0000-0000-0000710C0000}"/>
    <cellStyle name="Comma 2 2 2 12 2" xfId="48481" xr:uid="{00000000-0005-0000-0000-0000720C0000}"/>
    <cellStyle name="Comma 2 2 2 13" xfId="2931" xr:uid="{00000000-0005-0000-0000-0000730C0000}"/>
    <cellStyle name="Comma 2 2 2 13 2" xfId="48482" xr:uid="{00000000-0005-0000-0000-0000740C0000}"/>
    <cellStyle name="Comma 2 2 2 14" xfId="2932" xr:uid="{00000000-0005-0000-0000-0000750C0000}"/>
    <cellStyle name="Comma 2 2 2 14 2" xfId="48483" xr:uid="{00000000-0005-0000-0000-0000760C0000}"/>
    <cellStyle name="Comma 2 2 2 15" xfId="2933" xr:uid="{00000000-0005-0000-0000-0000770C0000}"/>
    <cellStyle name="Comma 2 2 2 15 2" xfId="48484" xr:uid="{00000000-0005-0000-0000-0000780C0000}"/>
    <cellStyle name="Comma 2 2 2 16" xfId="48485" xr:uid="{00000000-0005-0000-0000-0000790C0000}"/>
    <cellStyle name="Comma 2 2 2 17" xfId="48486" xr:uid="{00000000-0005-0000-0000-00007A0C0000}"/>
    <cellStyle name="Comma 2 2 2 18" xfId="48487" xr:uid="{00000000-0005-0000-0000-00007B0C0000}"/>
    <cellStyle name="Comma 2 2 2 19" xfId="50308"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88"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19"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27" xr:uid="{00000000-0005-0000-0000-0000D60C0000}"/>
    <cellStyle name="Comma 2 2 2 2 4 3" xfId="3021" xr:uid="{00000000-0005-0000-0000-0000D70C0000}"/>
    <cellStyle name="Comma 2 2 2 2 4 4" xfId="48489"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28" xr:uid="{00000000-0005-0000-0000-0000DC0C0000}"/>
    <cellStyle name="Comma 2 2 2 2 5 3" xfId="48490" xr:uid="{00000000-0005-0000-0000-0000DD0C0000}"/>
    <cellStyle name="Comma 2 2 2 2 6" xfId="3025" xr:uid="{00000000-0005-0000-0000-0000DE0C0000}"/>
    <cellStyle name="Comma 2 2 2 2 6 2" xfId="50329" xr:uid="{00000000-0005-0000-0000-0000DF0C0000}"/>
    <cellStyle name="Comma 2 2 2 2 6 3" xfId="48491" xr:uid="{00000000-0005-0000-0000-0000E00C0000}"/>
    <cellStyle name="Comma 2 2 2 2 7" xfId="3026" xr:uid="{00000000-0005-0000-0000-0000E10C0000}"/>
    <cellStyle name="Comma 2 2 2 2 7 2" xfId="3027" xr:uid="{00000000-0005-0000-0000-0000E20C0000}"/>
    <cellStyle name="Comma 2 2 2 2 7 2 2" xfId="50330" xr:uid="{00000000-0005-0000-0000-0000E30C0000}"/>
    <cellStyle name="Comma 2 2 2 2 7 3" xfId="48492" xr:uid="{00000000-0005-0000-0000-0000E40C0000}"/>
    <cellStyle name="Comma 2 2 2 2 8" xfId="48493" xr:uid="{00000000-0005-0000-0000-0000E50C0000}"/>
    <cellStyle name="Comma 2 2 2 2 8 2" xfId="50331" xr:uid="{00000000-0005-0000-0000-0000E60C0000}"/>
    <cellStyle name="Comma 2 2 2 20" xfId="48478"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5" xr:uid="{00000000-0005-0000-0000-0000FC0C0000}"/>
    <cellStyle name="Comma 2 2 2 5 2 3" xfId="48494" xr:uid="{00000000-0005-0000-0000-0000FD0C0000}"/>
    <cellStyle name="Comma 2 2 2 5 3" xfId="48495" xr:uid="{00000000-0005-0000-0000-0000FE0C0000}"/>
    <cellStyle name="Comma 2 2 2 5 3 2" xfId="50336" xr:uid="{00000000-0005-0000-0000-0000FF0C0000}"/>
    <cellStyle name="Comma 2 2 2 5 4" xfId="48496" xr:uid="{00000000-0005-0000-0000-0000000D0000}"/>
    <cellStyle name="Comma 2 2 2 5 4 2" xfId="50337" xr:uid="{00000000-0005-0000-0000-0000010D0000}"/>
    <cellStyle name="Comma 2 2 2 5 5" xfId="48497" xr:uid="{00000000-0005-0000-0000-0000020D0000}"/>
    <cellStyle name="Comma 2 2 2 5 5 2" xfId="50338" xr:uid="{00000000-0005-0000-0000-0000030D0000}"/>
    <cellStyle name="Comma 2 2 2 5 6" xfId="48498" xr:uid="{00000000-0005-0000-0000-0000040D0000}"/>
    <cellStyle name="Comma 2 2 2 5 6 2" xfId="50339" xr:uid="{00000000-0005-0000-0000-0000050D0000}"/>
    <cellStyle name="Comma 2 2 2 5 7" xfId="48499" xr:uid="{00000000-0005-0000-0000-0000060D0000}"/>
    <cellStyle name="Comma 2 2 2 5 7 2" xfId="50340"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0" xr:uid="{00000000-0005-0000-0000-00000F0D0000}"/>
    <cellStyle name="Comma 2 2 20" xfId="3055" xr:uid="{00000000-0005-0000-0000-0000100D0000}"/>
    <cellStyle name="Comma 2 2 20 2" xfId="50297"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1"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2" xr:uid="{00000000-0005-0000-0000-0000340D0000}"/>
    <cellStyle name="Comma 2 2 4 2" xfId="48503" xr:uid="{00000000-0005-0000-0000-0000350D0000}"/>
    <cellStyle name="Comma 2 2 4 2 2" xfId="48504" xr:uid="{00000000-0005-0000-0000-0000360D0000}"/>
    <cellStyle name="Comma 2 2 4 2 2 2" xfId="50348" xr:uid="{00000000-0005-0000-0000-0000370D0000}"/>
    <cellStyle name="Comma 2 2 4 2 3" xfId="48505" xr:uid="{00000000-0005-0000-0000-0000380D0000}"/>
    <cellStyle name="Comma 2 2 4 2 3 2" xfId="50349" xr:uid="{00000000-0005-0000-0000-0000390D0000}"/>
    <cellStyle name="Comma 2 2 4 2 4" xfId="48506" xr:uid="{00000000-0005-0000-0000-00003A0D0000}"/>
    <cellStyle name="Comma 2 2 4 2 4 2" xfId="50350" xr:uid="{00000000-0005-0000-0000-00003B0D0000}"/>
    <cellStyle name="Comma 2 2 4 2 5" xfId="48507" xr:uid="{00000000-0005-0000-0000-00003C0D0000}"/>
    <cellStyle name="Comma 2 2 4 2 5 2" xfId="50351" xr:uid="{00000000-0005-0000-0000-00003D0D0000}"/>
    <cellStyle name="Comma 2 2 4 2 6" xfId="48508" xr:uid="{00000000-0005-0000-0000-00003E0D0000}"/>
    <cellStyle name="Comma 2 2 4 2 6 2" xfId="50352" xr:uid="{00000000-0005-0000-0000-00003F0D0000}"/>
    <cellStyle name="Comma 2 2 4 2 7" xfId="48509" xr:uid="{00000000-0005-0000-0000-0000400D0000}"/>
    <cellStyle name="Comma 2 2 4 2 7 2" xfId="50353" xr:uid="{00000000-0005-0000-0000-0000410D0000}"/>
    <cellStyle name="Comma 2 2 4 2 8" xfId="50347" xr:uid="{00000000-0005-0000-0000-0000420D0000}"/>
    <cellStyle name="Comma 2 2 4 3" xfId="48510" xr:uid="{00000000-0005-0000-0000-0000430D0000}"/>
    <cellStyle name="Comma 2 2 4 3 2" xfId="50354" xr:uid="{00000000-0005-0000-0000-0000440D0000}"/>
    <cellStyle name="Comma 2 2 4 4" xfId="48511" xr:uid="{00000000-0005-0000-0000-0000450D0000}"/>
    <cellStyle name="Comma 2 2 4 4 2" xfId="50355" xr:uid="{00000000-0005-0000-0000-0000460D0000}"/>
    <cellStyle name="Comma 2 2 4 5" xfId="48512" xr:uid="{00000000-0005-0000-0000-0000470D0000}"/>
    <cellStyle name="Comma 2 2 4 5 2" xfId="50356" xr:uid="{00000000-0005-0000-0000-0000480D0000}"/>
    <cellStyle name="Comma 2 2 4 6" xfId="48513" xr:uid="{00000000-0005-0000-0000-0000490D0000}"/>
    <cellStyle name="Comma 2 2 4 6 2" xfId="50357" xr:uid="{00000000-0005-0000-0000-00004A0D0000}"/>
    <cellStyle name="Comma 2 2 4 7" xfId="48514" xr:uid="{00000000-0005-0000-0000-00004B0D0000}"/>
    <cellStyle name="Comma 2 2 4 7 2" xfId="50358" xr:uid="{00000000-0005-0000-0000-00004C0D0000}"/>
    <cellStyle name="Comma 2 2 4 8" xfId="48515" xr:uid="{00000000-0005-0000-0000-00004D0D0000}"/>
    <cellStyle name="Comma 2 2 4 8 2" xfId="50359" xr:uid="{00000000-0005-0000-0000-00004E0D0000}"/>
    <cellStyle name="Comma 2 2 4 9" xfId="50346"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0" xr:uid="{00000000-0005-0000-0000-0000720D0000}"/>
    <cellStyle name="Comma 2 2 5 3" xfId="48516"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67" xr:uid="{00000000-0005-0000-0000-00007A0D0000}"/>
    <cellStyle name="Comma 2 2 6" xfId="3129" xr:uid="{00000000-0005-0000-0000-00007B0D0000}"/>
    <cellStyle name="Comma 2 2 6 2" xfId="48518" xr:uid="{00000000-0005-0000-0000-00007C0D0000}"/>
    <cellStyle name="Comma 2 2 6 2 2" xfId="50362" xr:uid="{00000000-0005-0000-0000-00007D0D0000}"/>
    <cellStyle name="Comma 2 2 6 3" xfId="48519" xr:uid="{00000000-0005-0000-0000-00007E0D0000}"/>
    <cellStyle name="Comma 2 2 6 3 2" xfId="50363" xr:uid="{00000000-0005-0000-0000-00007F0D0000}"/>
    <cellStyle name="Comma 2 2 6 4" xfId="48520" xr:uid="{00000000-0005-0000-0000-0000800D0000}"/>
    <cellStyle name="Comma 2 2 6 4 2" xfId="50364" xr:uid="{00000000-0005-0000-0000-0000810D0000}"/>
    <cellStyle name="Comma 2 2 6 5" xfId="48521" xr:uid="{00000000-0005-0000-0000-0000820D0000}"/>
    <cellStyle name="Comma 2 2 6 5 2" xfId="50365" xr:uid="{00000000-0005-0000-0000-0000830D0000}"/>
    <cellStyle name="Comma 2 2 6 6" xfId="48522" xr:uid="{00000000-0005-0000-0000-0000840D0000}"/>
    <cellStyle name="Comma 2 2 6 6 2" xfId="50366" xr:uid="{00000000-0005-0000-0000-0000850D0000}"/>
    <cellStyle name="Comma 2 2 6 7" xfId="48523" xr:uid="{00000000-0005-0000-0000-0000860D0000}"/>
    <cellStyle name="Comma 2 2 6 7 2" xfId="50367" xr:uid="{00000000-0005-0000-0000-0000870D0000}"/>
    <cellStyle name="Comma 2 2 6 8" xfId="50361" xr:uid="{00000000-0005-0000-0000-0000880D0000}"/>
    <cellStyle name="Comma 2 2 6 9" xfId="48517" xr:uid="{00000000-0005-0000-0000-0000890D0000}"/>
    <cellStyle name="Comma 2 2 7" xfId="3130" xr:uid="{00000000-0005-0000-0000-00008A0D0000}"/>
    <cellStyle name="Comma 2 2 7 2" xfId="50368" xr:uid="{00000000-0005-0000-0000-00008B0D0000}"/>
    <cellStyle name="Comma 2 2 7 3" xfId="48524" xr:uid="{00000000-0005-0000-0000-00008C0D0000}"/>
    <cellStyle name="Comma 2 2 8" xfId="3131" xr:uid="{00000000-0005-0000-0000-00008D0D0000}"/>
    <cellStyle name="Comma 2 2 8 2" xfId="50369" xr:uid="{00000000-0005-0000-0000-00008E0D0000}"/>
    <cellStyle name="Comma 2 2 8 3" xfId="48525" xr:uid="{00000000-0005-0000-0000-00008F0D0000}"/>
    <cellStyle name="Comma 2 2 9" xfId="3132" xr:uid="{00000000-0005-0000-0000-0000900D0000}"/>
    <cellStyle name="Comma 2 2 9 2" xfId="50370" xr:uid="{00000000-0005-0000-0000-0000910D0000}"/>
    <cellStyle name="Comma 2 2 9 3" xfId="48526" xr:uid="{00000000-0005-0000-0000-0000920D0000}"/>
    <cellStyle name="Comma 2 2_3.1.2 DB Pension Detail" xfId="3133" xr:uid="{00000000-0005-0000-0000-0000930D0000}"/>
    <cellStyle name="Comma 2 20" xfId="3134" xr:uid="{00000000-0005-0000-0000-0000940D0000}"/>
    <cellStyle name="Comma 2 20 2" xfId="50372" xr:uid="{00000000-0005-0000-0000-0000950D0000}"/>
    <cellStyle name="Comma 2 20 3" xfId="48527" xr:uid="{00000000-0005-0000-0000-0000960D0000}"/>
    <cellStyle name="Comma 2 21" xfId="3135" xr:uid="{00000000-0005-0000-0000-0000970D0000}"/>
    <cellStyle name="Comma 2 21 2" xfId="50848" xr:uid="{00000000-0005-0000-0000-0000980D0000}"/>
    <cellStyle name="Comma 2 21 3" xfId="49398" xr:uid="{00000000-0005-0000-0000-0000990D0000}"/>
    <cellStyle name="Comma 2 22" xfId="3136" xr:uid="{00000000-0005-0000-0000-00009A0D0000}"/>
    <cellStyle name="Comma 2 22 2" xfId="50286"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0" xr:uid="{00000000-0005-0000-0000-0000B60D0000}"/>
    <cellStyle name="Comma 2 3 2 2 2" xfId="3163" xr:uid="{00000000-0005-0000-0000-0000B70D0000}"/>
    <cellStyle name="Comma 2 3 2 2 2 2" xfId="50375"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4" xr:uid="{00000000-0005-0000-0000-0000C20D0000}"/>
    <cellStyle name="Comma 2 3 2 4" xfId="48529"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1" xr:uid="{00000000-0005-0000-0000-0000D40D0000}"/>
    <cellStyle name="Comma 2 3 3 2" xfId="3189" xr:uid="{00000000-0005-0000-0000-0000D50D0000}"/>
    <cellStyle name="Comma 2 3 3 2 2" xfId="50376"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3"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28"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77"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2"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78" xr:uid="{00000000-0005-0000-0000-00006F0E0000}"/>
    <cellStyle name="Comma 2 5 3" xfId="48533"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79" xr:uid="{00000000-0005-0000-0000-00009E0E0000}"/>
    <cellStyle name="Comma 2 6 3" xfId="48534"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0" xr:uid="{00000000-0005-0000-0000-0000AB0E0000}"/>
    <cellStyle name="Comma 2 7 3" xfId="48535"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1" xr:uid="{00000000-0005-0000-0000-0000B80E0000}"/>
    <cellStyle name="Comma 2 8 3" xfId="48536"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2" xr:uid="{00000000-0005-0000-0000-0000C50E0000}"/>
    <cellStyle name="Comma 2 9 3" xfId="48537"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5" xr:uid="{00000000-0005-0000-0000-0000D30E0000}"/>
    <cellStyle name="Comma 21" xfId="51682" xr:uid="{00000000-0005-0000-0000-0000D40E0000}"/>
    <cellStyle name="Comma 22" xfId="51337" xr:uid="{00000000-0005-0000-0000-0000D50E0000}"/>
    <cellStyle name="Comma 23" xfId="51676" xr:uid="{00000000-0005-0000-0000-0000D60E0000}"/>
    <cellStyle name="Comma 24" xfId="50769" xr:uid="{00000000-0005-0000-0000-0000D70E0000}"/>
    <cellStyle name="Comma 25" xfId="51672" xr:uid="{00000000-0005-0000-0000-0000D80E0000}"/>
    <cellStyle name="Comma 26" xfId="51209" xr:uid="{00000000-0005-0000-0000-0000D90E0000}"/>
    <cellStyle name="Comma 27" xfId="50931" xr:uid="{00000000-0005-0000-0000-0000DA0E0000}"/>
    <cellStyle name="Comma 28" xfId="49373"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38" xr:uid="{00000000-0005-0000-0000-0000FB0E0000}"/>
    <cellStyle name="Comma 3 13" xfId="3458" xr:uid="{00000000-0005-0000-0000-0000FC0E0000}"/>
    <cellStyle name="Comma 3 13 2" xfId="50828" xr:uid="{00000000-0005-0000-0000-0000FD0E0000}"/>
    <cellStyle name="Comma 3 13 3" xfId="49374"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0" xr:uid="{00000000-0005-0000-0000-00000C0F0000}"/>
    <cellStyle name="Comma 3 2 2 2" xfId="3472" xr:uid="{00000000-0005-0000-0000-00000D0F0000}"/>
    <cellStyle name="Comma 3 2 2 2 2" xfId="50385"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6" xr:uid="{00000000-0005-0000-0000-0000180F0000}"/>
    <cellStyle name="Comma 3 2 3 3" xfId="48541" xr:uid="{00000000-0005-0000-0000-0000190F0000}"/>
    <cellStyle name="Comma 3 2 4" xfId="3482" xr:uid="{00000000-0005-0000-0000-00001A0F0000}"/>
    <cellStyle name="Comma 3 2 4 2" xfId="50384" xr:uid="{00000000-0005-0000-0000-00001B0F0000}"/>
    <cellStyle name="Comma 3 2 5" xfId="3483" xr:uid="{00000000-0005-0000-0000-00001C0F0000}"/>
    <cellStyle name="Comma 3 2 6" xfId="48539"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29" xr:uid="{00000000-0005-0000-0000-00002C0F0000}"/>
    <cellStyle name="Comma 3 3 2 3" xfId="49375" xr:uid="{00000000-0005-0000-0000-00002D0F0000}"/>
    <cellStyle name="Comma 3 3 3" xfId="3498" xr:uid="{00000000-0005-0000-0000-00002E0F0000}"/>
    <cellStyle name="Comma 3 3 3 2" xfId="50387" xr:uid="{00000000-0005-0000-0000-00002F0F0000}"/>
    <cellStyle name="Comma 3 3 4" xfId="3499" xr:uid="{00000000-0005-0000-0000-0000300F0000}"/>
    <cellStyle name="Comma 3 3 5" xfId="48542"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3"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88"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3"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89"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4"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3"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1"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5" xr:uid="{00000000-0005-0000-0000-0000AB110000}"/>
    <cellStyle name="Comma 7 2" xfId="4126" xr:uid="{00000000-0005-0000-0000-0000AC110000}"/>
    <cellStyle name="Comma 7 2 2" xfId="50390"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47" xr:uid="{00000000-0005-0000-0000-0000B6110000}"/>
    <cellStyle name="Comma 8 2 2" xfId="50392" xr:uid="{00000000-0005-0000-0000-0000B7110000}"/>
    <cellStyle name="Comma 8 3" xfId="48548" xr:uid="{00000000-0005-0000-0000-0000B8110000}"/>
    <cellStyle name="Comma 8 3 2" xfId="50393" xr:uid="{00000000-0005-0000-0000-0000B9110000}"/>
    <cellStyle name="Comma 8 4" xfId="50391" xr:uid="{00000000-0005-0000-0000-0000BA110000}"/>
    <cellStyle name="Comma 8 5" xfId="48546" xr:uid="{00000000-0005-0000-0000-0000BB110000}"/>
    <cellStyle name="Comma 9" xfId="4135" xr:uid="{00000000-0005-0000-0000-0000BC110000}"/>
    <cellStyle name="Comma 9 2" xfId="50394" xr:uid="{00000000-0005-0000-0000-0000BD110000}"/>
    <cellStyle name="Comma 9 3" xfId="48549"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0" xr:uid="{00000000-0005-0000-0000-000026120000}"/>
    <cellStyle name="Emphasis 2" xfId="30" xr:uid="{00000000-0005-0000-0000-000027120000}"/>
    <cellStyle name="Emphasis 2 2" xfId="48551" xr:uid="{00000000-0005-0000-0000-000028120000}"/>
    <cellStyle name="Emphasis 3" xfId="31" xr:uid="{00000000-0005-0000-0000-000029120000}"/>
    <cellStyle name="Emphasis 3 2" xfId="48552"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3"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4"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5"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6" xr:uid="{00000000-0005-0000-0000-0000A6120000}"/>
    <cellStyle name="Good 3" xfId="4357" xr:uid="{00000000-0005-0000-0000-0000A7120000}"/>
    <cellStyle name="Good 3 2" xfId="4358" xr:uid="{00000000-0005-0000-0000-0000A8120000}"/>
    <cellStyle name="Good 3 3" xfId="4359" xr:uid="{00000000-0005-0000-0000-0000A9120000}"/>
    <cellStyle name="Good 3 4" xfId="48557"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59" xr:uid="{00000000-0005-0000-0000-0000B2120000}"/>
    <cellStyle name="GreyOrWhite 2 2" xfId="48560" xr:uid="{00000000-0005-0000-0000-0000B3120000}"/>
    <cellStyle name="GreyOrWhite 2 3" xfId="48561" xr:uid="{00000000-0005-0000-0000-0000B4120000}"/>
    <cellStyle name="GreyOrWhite 2 4" xfId="48562" xr:uid="{00000000-0005-0000-0000-0000B5120000}"/>
    <cellStyle name="GreyOrWhite 2 5" xfId="48563" xr:uid="{00000000-0005-0000-0000-0000B6120000}"/>
    <cellStyle name="GreyOrWhite 2 6" xfId="48564" xr:uid="{00000000-0005-0000-0000-0000B7120000}"/>
    <cellStyle name="GreyOrWhite 2 7" xfId="48565" xr:uid="{00000000-0005-0000-0000-0000B8120000}"/>
    <cellStyle name="GreyOrWhite 2 8" xfId="48566" xr:uid="{00000000-0005-0000-0000-0000B9120000}"/>
    <cellStyle name="GreyOrWhite 3" xfId="48558"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67"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68"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69"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0"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1"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2"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3"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4"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1" xr:uid="{00000000-0005-0000-0000-0000A2130000}"/>
    <cellStyle name="Input 2 2 2 3" xfId="4589" xr:uid="{00000000-0005-0000-0000-0000A3130000}"/>
    <cellStyle name="Input 2 2 2 3 2" xfId="51667" xr:uid="{00000000-0005-0000-0000-0000A4130000}"/>
    <cellStyle name="Input 2 2 2 4" xfId="49796"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0"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68" xr:uid="{00000000-0005-0000-0000-0000B7130000}"/>
    <cellStyle name="Input 2 2 4" xfId="4606" xr:uid="{00000000-0005-0000-0000-0000B8130000}"/>
    <cellStyle name="Input 2 2 4 2" xfId="50872"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6" xr:uid="{00000000-0005-0000-0000-0000D6130000}"/>
    <cellStyle name="Input 2 3 2 3" xfId="4635" xr:uid="{00000000-0005-0000-0000-0000D7130000}"/>
    <cellStyle name="Input 2 3 2 3 2" xfId="51168" xr:uid="{00000000-0005-0000-0000-0000D8130000}"/>
    <cellStyle name="Input 2 3 2 4" xfId="49801"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5"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3" xr:uid="{00000000-0005-0000-0000-0000EB130000}"/>
    <cellStyle name="Input 2 3 4" xfId="4652" xr:uid="{00000000-0005-0000-0000-0000EC130000}"/>
    <cellStyle name="Input 2 3 4 2" xfId="51350"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5"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199" xr:uid="{00000000-0005-0000-0000-000008140000}"/>
    <cellStyle name="Input 2 4 2 3" xfId="4678" xr:uid="{00000000-0005-0000-0000-000009140000}"/>
    <cellStyle name="Input 2 4 2 3 2" xfId="51523" xr:uid="{00000000-0005-0000-0000-00000A140000}"/>
    <cellStyle name="Input 2 4 2 4" xfId="49798"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68"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0" xr:uid="{00000000-0005-0000-0000-00001D140000}"/>
    <cellStyle name="Input 2 4 4" xfId="4695" xr:uid="{00000000-0005-0000-0000-00001E140000}"/>
    <cellStyle name="Input 2 4 4 2" xfId="51489"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1"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68"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1"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6"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0"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2"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18"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3" xr:uid="{00000000-0005-0000-0000-000079140000}"/>
    <cellStyle name="Input 2 9" xfId="4778" xr:uid="{00000000-0005-0000-0000-00007A140000}"/>
    <cellStyle name="Input 2 9 2" xfId="4779" xr:uid="{00000000-0005-0000-0000-00007B140000}"/>
    <cellStyle name="Input 2 9 3" xfId="51675" xr:uid="{00000000-0005-0000-0000-00007C140000}"/>
    <cellStyle name="Input 3" xfId="4780" xr:uid="{00000000-0005-0000-0000-00007D140000}"/>
    <cellStyle name="Input 3 10" xfId="48576" xr:uid="{00000000-0005-0000-0000-00007E140000}"/>
    <cellStyle name="Input 3 2" xfId="4781" xr:uid="{00000000-0005-0000-0000-00007F140000}"/>
    <cellStyle name="Input 3 2 2" xfId="4782" xr:uid="{00000000-0005-0000-0000-000080140000}"/>
    <cellStyle name="Input 3 2 2 2" xfId="50200" xr:uid="{00000000-0005-0000-0000-000081140000}"/>
    <cellStyle name="Input 3 2 2 3" xfId="51265" xr:uid="{00000000-0005-0000-0000-000082140000}"/>
    <cellStyle name="Input 3 2 2 4" xfId="49797" xr:uid="{00000000-0005-0000-0000-000083140000}"/>
    <cellStyle name="Input 3 2 3" xfId="50569" xr:uid="{00000000-0005-0000-0000-000084140000}"/>
    <cellStyle name="Input 3 2 4" xfId="51232" xr:uid="{00000000-0005-0000-0000-000085140000}"/>
    <cellStyle name="Input 3 2 5" xfId="49469" xr:uid="{00000000-0005-0000-0000-000086140000}"/>
    <cellStyle name="Input 3 3" xfId="4783" xr:uid="{00000000-0005-0000-0000-000087140000}"/>
    <cellStyle name="Input 3 3 2" xfId="4784" xr:uid="{00000000-0005-0000-0000-000088140000}"/>
    <cellStyle name="Input 3 3 2 2" xfId="50197" xr:uid="{00000000-0005-0000-0000-000089140000}"/>
    <cellStyle name="Input 3 3 2 3" xfId="51521" xr:uid="{00000000-0005-0000-0000-00008A140000}"/>
    <cellStyle name="Input 3 3 2 4" xfId="49800" xr:uid="{00000000-0005-0000-0000-00008B140000}"/>
    <cellStyle name="Input 3 3 3" xfId="50566" xr:uid="{00000000-0005-0000-0000-00008C140000}"/>
    <cellStyle name="Input 3 3 4" xfId="51456" xr:uid="{00000000-0005-0000-0000-00008D140000}"/>
    <cellStyle name="Input 3 3 5" xfId="49472" xr:uid="{00000000-0005-0000-0000-00008E140000}"/>
    <cellStyle name="Input 3 4" xfId="4785" xr:uid="{00000000-0005-0000-0000-00008F140000}"/>
    <cellStyle name="Input 3 4 2" xfId="49799" xr:uid="{00000000-0005-0000-0000-000090140000}"/>
    <cellStyle name="Input 3 4 2 2" xfId="50198" xr:uid="{00000000-0005-0000-0000-000091140000}"/>
    <cellStyle name="Input 3 4 2 3" xfId="51263" xr:uid="{00000000-0005-0000-0000-000092140000}"/>
    <cellStyle name="Input 3 4 3" xfId="50567" xr:uid="{00000000-0005-0000-0000-000093140000}"/>
    <cellStyle name="Input 3 4 4" xfId="51198" xr:uid="{00000000-0005-0000-0000-000094140000}"/>
    <cellStyle name="Input 3 4 5" xfId="49471" xr:uid="{00000000-0005-0000-0000-000095140000}"/>
    <cellStyle name="Input 3 5" xfId="49632" xr:uid="{00000000-0005-0000-0000-000096140000}"/>
    <cellStyle name="Input 3 5 2" xfId="50924" xr:uid="{00000000-0005-0000-0000-000097140000}"/>
    <cellStyle name="Input 3 5 3" xfId="51176" xr:uid="{00000000-0005-0000-0000-000098140000}"/>
    <cellStyle name="Input 3 6" xfId="50041" xr:uid="{00000000-0005-0000-0000-000099140000}"/>
    <cellStyle name="Input 3 6 2" xfId="51085" xr:uid="{00000000-0005-0000-0000-00009A140000}"/>
    <cellStyle name="Input 3 6 3" xfId="51417" xr:uid="{00000000-0005-0000-0000-00009B140000}"/>
    <cellStyle name="Input 3 7" xfId="50851" xr:uid="{00000000-0005-0000-0000-00009C140000}"/>
    <cellStyle name="Input 3 8" xfId="50770" xr:uid="{00000000-0005-0000-0000-00009D140000}"/>
    <cellStyle name="Input 3 9" xfId="51679"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77"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38"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78"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79"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0"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1"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3"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2"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5"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4"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6"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87"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88"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89"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0"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2"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3"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4"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5" xr:uid="{00000000-0005-0000-0000-0000BF1D0000}"/>
    <cellStyle name="Normal 2 130" xfId="7097" xr:uid="{00000000-0005-0000-0000-0000C01D0000}"/>
    <cellStyle name="Normal 2 131" xfId="48591" xr:uid="{00000000-0005-0000-0000-0000C11D0000}"/>
    <cellStyle name="Normal 2 14" xfId="7098" xr:uid="{00000000-0005-0000-0000-0000C21D0000}"/>
    <cellStyle name="Normal 2 14 2" xfId="48596" xr:uid="{00000000-0005-0000-0000-0000C31D0000}"/>
    <cellStyle name="Normal 2 15" xfId="7099" xr:uid="{00000000-0005-0000-0000-0000C41D0000}"/>
    <cellStyle name="Normal 2 15 2" xfId="48597" xr:uid="{00000000-0005-0000-0000-0000C51D0000}"/>
    <cellStyle name="Normal 2 16" xfId="7100" xr:uid="{00000000-0005-0000-0000-0000C61D0000}"/>
    <cellStyle name="Normal 2 16 2" xfId="48598" xr:uid="{00000000-0005-0000-0000-0000C71D0000}"/>
    <cellStyle name="Normal 2 17" xfId="7101" xr:uid="{00000000-0005-0000-0000-0000C81D0000}"/>
    <cellStyle name="Normal 2 17 2" xfId="48599" xr:uid="{00000000-0005-0000-0000-0000C91D0000}"/>
    <cellStyle name="Normal 2 18" xfId="7102" xr:uid="{00000000-0005-0000-0000-0000CA1D0000}"/>
    <cellStyle name="Normal 2 18 2" xfId="48600" xr:uid="{00000000-0005-0000-0000-0000CB1D0000}"/>
    <cellStyle name="Normal 2 19" xfId="7103" xr:uid="{00000000-0005-0000-0000-0000CC1D0000}"/>
    <cellStyle name="Normal 2 19 2" xfId="48601"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3"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5" xr:uid="{00000000-0005-0000-0000-0000DD1D0000}"/>
    <cellStyle name="Normal 2 2 11 2 2" xfId="48606" xr:uid="{00000000-0005-0000-0000-0000DE1D0000}"/>
    <cellStyle name="Normal 2 2 11 2 3" xfId="48607" xr:uid="{00000000-0005-0000-0000-0000DF1D0000}"/>
    <cellStyle name="Normal 2 2 11 2 4" xfId="48608" xr:uid="{00000000-0005-0000-0000-0000E01D0000}"/>
    <cellStyle name="Normal 2 2 11 2 5" xfId="48609" xr:uid="{00000000-0005-0000-0000-0000E11D0000}"/>
    <cellStyle name="Normal 2 2 11 2 6" xfId="48610" xr:uid="{00000000-0005-0000-0000-0000E21D0000}"/>
    <cellStyle name="Normal 2 2 11 2 7" xfId="48611" xr:uid="{00000000-0005-0000-0000-0000E31D0000}"/>
    <cellStyle name="Normal 2 2 11 3" xfId="48612" xr:uid="{00000000-0005-0000-0000-0000E41D0000}"/>
    <cellStyle name="Normal 2 2 11 4" xfId="48613" xr:uid="{00000000-0005-0000-0000-0000E51D0000}"/>
    <cellStyle name="Normal 2 2 11 5" xfId="48614" xr:uid="{00000000-0005-0000-0000-0000E61D0000}"/>
    <cellStyle name="Normal 2 2 11 6" xfId="48615" xr:uid="{00000000-0005-0000-0000-0000E71D0000}"/>
    <cellStyle name="Normal 2 2 11 7" xfId="48616" xr:uid="{00000000-0005-0000-0000-0000E81D0000}"/>
    <cellStyle name="Normal 2 2 11 8" xfId="48617" xr:uid="{00000000-0005-0000-0000-0000E91D0000}"/>
    <cellStyle name="Normal 2 2 11 9" xfId="48604"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18"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2" xr:uid="{00000000-0005-0000-0000-0000FB1D0000}"/>
    <cellStyle name="Normal 2 2 13" xfId="7132" xr:uid="{00000000-0005-0000-0000-0000FC1D0000}"/>
    <cellStyle name="Normal 2 2 13 2" xfId="48620" xr:uid="{00000000-0005-0000-0000-0000FD1D0000}"/>
    <cellStyle name="Normal 2 2 13 3" xfId="48621" xr:uid="{00000000-0005-0000-0000-0000FE1D0000}"/>
    <cellStyle name="Normal 2 2 13 4" xfId="48622" xr:uid="{00000000-0005-0000-0000-0000FF1D0000}"/>
    <cellStyle name="Normal 2 2 13 5" xfId="48623" xr:uid="{00000000-0005-0000-0000-0000001E0000}"/>
    <cellStyle name="Normal 2 2 13 6" xfId="48624" xr:uid="{00000000-0005-0000-0000-0000011E0000}"/>
    <cellStyle name="Normal 2 2 13 7" xfId="48625" xr:uid="{00000000-0005-0000-0000-0000021E0000}"/>
    <cellStyle name="Normal 2 2 13 8" xfId="48619" xr:uid="{00000000-0005-0000-0000-0000031E0000}"/>
    <cellStyle name="Normal 2 2 14" xfId="7133" xr:uid="{00000000-0005-0000-0000-0000041E0000}"/>
    <cellStyle name="Normal 2 2 14 2" xfId="48626" xr:uid="{00000000-0005-0000-0000-0000051E0000}"/>
    <cellStyle name="Normal 2 2 15" xfId="7134" xr:uid="{00000000-0005-0000-0000-0000061E0000}"/>
    <cellStyle name="Normal 2 2 15 2" xfId="48627" xr:uid="{00000000-0005-0000-0000-0000071E0000}"/>
    <cellStyle name="Normal 2 2 16" xfId="7135" xr:uid="{00000000-0005-0000-0000-0000081E0000}"/>
    <cellStyle name="Normal 2 2 16 2" xfId="48628" xr:uid="{00000000-0005-0000-0000-0000091E0000}"/>
    <cellStyle name="Normal 2 2 17" xfId="7136" xr:uid="{00000000-0005-0000-0000-00000A1E0000}"/>
    <cellStyle name="Normal 2 2 17 2" xfId="48629" xr:uid="{00000000-0005-0000-0000-00000B1E0000}"/>
    <cellStyle name="Normal 2 2 18" xfId="7137" xr:uid="{00000000-0005-0000-0000-00000C1E0000}"/>
    <cellStyle name="Normal 2 2 18 2" xfId="48630" xr:uid="{00000000-0005-0000-0000-00000D1E0000}"/>
    <cellStyle name="Normal 2 2 19" xfId="7138" xr:uid="{00000000-0005-0000-0000-00000E1E0000}"/>
    <cellStyle name="Normal 2 2 19 2" xfId="48631"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3"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5" xr:uid="{00000000-0005-0000-0000-0000241E0000}"/>
    <cellStyle name="Normal 2 2 2 11 2 2" xfId="48636" xr:uid="{00000000-0005-0000-0000-0000251E0000}"/>
    <cellStyle name="Normal 2 2 2 11 2 3" xfId="48637" xr:uid="{00000000-0005-0000-0000-0000261E0000}"/>
    <cellStyle name="Normal 2 2 2 11 2 4" xfId="48638" xr:uid="{00000000-0005-0000-0000-0000271E0000}"/>
    <cellStyle name="Normal 2 2 2 11 2 5" xfId="48639" xr:uid="{00000000-0005-0000-0000-0000281E0000}"/>
    <cellStyle name="Normal 2 2 2 11 2 6" xfId="48640" xr:uid="{00000000-0005-0000-0000-0000291E0000}"/>
    <cellStyle name="Normal 2 2 2 11 2 7" xfId="48641" xr:uid="{00000000-0005-0000-0000-00002A1E0000}"/>
    <cellStyle name="Normal 2 2 2 11 3" xfId="48642" xr:uid="{00000000-0005-0000-0000-00002B1E0000}"/>
    <cellStyle name="Normal 2 2 2 11 4" xfId="48643" xr:uid="{00000000-0005-0000-0000-00002C1E0000}"/>
    <cellStyle name="Normal 2 2 2 11 5" xfId="48644" xr:uid="{00000000-0005-0000-0000-00002D1E0000}"/>
    <cellStyle name="Normal 2 2 2 11 6" xfId="48645" xr:uid="{00000000-0005-0000-0000-00002E1E0000}"/>
    <cellStyle name="Normal 2 2 2 11 7" xfId="48646" xr:uid="{00000000-0005-0000-0000-00002F1E0000}"/>
    <cellStyle name="Normal 2 2 2 11 8" xfId="48647" xr:uid="{00000000-0005-0000-0000-0000301E0000}"/>
    <cellStyle name="Normal 2 2 2 11 9" xfId="48634" xr:uid="{00000000-0005-0000-0000-0000311E0000}"/>
    <cellStyle name="Normal 2 2 2 12" xfId="7158" xr:uid="{00000000-0005-0000-0000-0000321E0000}"/>
    <cellStyle name="Normal 2 2 2 12 2" xfId="48648" xr:uid="{00000000-0005-0000-0000-0000331E0000}"/>
    <cellStyle name="Normal 2 2 2 13" xfId="7159" xr:uid="{00000000-0005-0000-0000-0000341E0000}"/>
    <cellStyle name="Normal 2 2 2 13 2" xfId="48650" xr:uid="{00000000-0005-0000-0000-0000351E0000}"/>
    <cellStyle name="Normal 2 2 2 13 3" xfId="48651" xr:uid="{00000000-0005-0000-0000-0000361E0000}"/>
    <cellStyle name="Normal 2 2 2 13 4" xfId="48652" xr:uid="{00000000-0005-0000-0000-0000371E0000}"/>
    <cellStyle name="Normal 2 2 2 13 5" xfId="48653" xr:uid="{00000000-0005-0000-0000-0000381E0000}"/>
    <cellStyle name="Normal 2 2 2 13 6" xfId="48654" xr:uid="{00000000-0005-0000-0000-0000391E0000}"/>
    <cellStyle name="Normal 2 2 2 13 7" xfId="48655" xr:uid="{00000000-0005-0000-0000-00003A1E0000}"/>
    <cellStyle name="Normal 2 2 2 13 8" xfId="48649" xr:uid="{00000000-0005-0000-0000-00003B1E0000}"/>
    <cellStyle name="Normal 2 2 2 14" xfId="7160" xr:uid="{00000000-0005-0000-0000-00003C1E0000}"/>
    <cellStyle name="Normal 2 2 2 14 2" xfId="48656" xr:uid="{00000000-0005-0000-0000-00003D1E0000}"/>
    <cellStyle name="Normal 2 2 2 15" xfId="7161" xr:uid="{00000000-0005-0000-0000-00003E1E0000}"/>
    <cellStyle name="Normal 2 2 2 15 2" xfId="48657" xr:uid="{00000000-0005-0000-0000-00003F1E0000}"/>
    <cellStyle name="Normal 2 2 2 16" xfId="7162" xr:uid="{00000000-0005-0000-0000-0000401E0000}"/>
    <cellStyle name="Normal 2 2 2 16 2" xfId="48658" xr:uid="{00000000-0005-0000-0000-0000411E0000}"/>
    <cellStyle name="Normal 2 2 2 17" xfId="7163" xr:uid="{00000000-0005-0000-0000-0000421E0000}"/>
    <cellStyle name="Normal 2 2 2 17 2" xfId="48659" xr:uid="{00000000-0005-0000-0000-0000431E0000}"/>
    <cellStyle name="Normal 2 2 2 18" xfId="7164" xr:uid="{00000000-0005-0000-0000-0000441E0000}"/>
    <cellStyle name="Normal 2 2 2 18 2" xfId="48660" xr:uid="{00000000-0005-0000-0000-0000451E0000}"/>
    <cellStyle name="Normal 2 2 2 19" xfId="7165" xr:uid="{00000000-0005-0000-0000-0000461E0000}"/>
    <cellStyle name="Normal 2 2 2 19 2" xfId="48661" xr:uid="{00000000-0005-0000-0000-0000471E0000}"/>
    <cellStyle name="Normal 2 2 2 2" xfId="7166" xr:uid="{00000000-0005-0000-0000-0000481E0000}"/>
    <cellStyle name="Normal 2 2 2 2 10" xfId="7167" xr:uid="{00000000-0005-0000-0000-0000491E0000}"/>
    <cellStyle name="Normal 2 2 2 2 10 2" xfId="48663" xr:uid="{00000000-0005-0000-0000-00004A1E0000}"/>
    <cellStyle name="Normal 2 2 2 2 11" xfId="7168" xr:uid="{00000000-0005-0000-0000-00004B1E0000}"/>
    <cellStyle name="Normal 2 2 2 2 11 2" xfId="48665" xr:uid="{00000000-0005-0000-0000-00004C1E0000}"/>
    <cellStyle name="Normal 2 2 2 2 11 3" xfId="48666" xr:uid="{00000000-0005-0000-0000-00004D1E0000}"/>
    <cellStyle name="Normal 2 2 2 2 11 4" xfId="48667" xr:uid="{00000000-0005-0000-0000-00004E1E0000}"/>
    <cellStyle name="Normal 2 2 2 2 11 5" xfId="48668" xr:uid="{00000000-0005-0000-0000-00004F1E0000}"/>
    <cellStyle name="Normal 2 2 2 2 11 6" xfId="48669" xr:uid="{00000000-0005-0000-0000-0000501E0000}"/>
    <cellStyle name="Normal 2 2 2 2 11 7" xfId="48670" xr:uid="{00000000-0005-0000-0000-0000511E0000}"/>
    <cellStyle name="Normal 2 2 2 2 11 8" xfId="48664" xr:uid="{00000000-0005-0000-0000-0000521E0000}"/>
    <cellStyle name="Normal 2 2 2 2 12" xfId="7169" xr:uid="{00000000-0005-0000-0000-0000531E0000}"/>
    <cellStyle name="Normal 2 2 2 2 12 2" xfId="48671" xr:uid="{00000000-0005-0000-0000-0000541E0000}"/>
    <cellStyle name="Normal 2 2 2 2 13" xfId="7170" xr:uid="{00000000-0005-0000-0000-0000551E0000}"/>
    <cellStyle name="Normal 2 2 2 2 13 2" xfId="48672" xr:uid="{00000000-0005-0000-0000-0000561E0000}"/>
    <cellStyle name="Normal 2 2 2 2 14" xfId="7171" xr:uid="{00000000-0005-0000-0000-0000571E0000}"/>
    <cellStyle name="Normal 2 2 2 2 14 2" xfId="48673" xr:uid="{00000000-0005-0000-0000-0000581E0000}"/>
    <cellStyle name="Normal 2 2 2 2 15" xfId="7172" xr:uid="{00000000-0005-0000-0000-0000591E0000}"/>
    <cellStyle name="Normal 2 2 2 2 15 2" xfId="48674" xr:uid="{00000000-0005-0000-0000-00005A1E0000}"/>
    <cellStyle name="Normal 2 2 2 2 16" xfId="7173" xr:uid="{00000000-0005-0000-0000-00005B1E0000}"/>
    <cellStyle name="Normal 2 2 2 2 16 2" xfId="48675" xr:uid="{00000000-0005-0000-0000-00005C1E0000}"/>
    <cellStyle name="Normal 2 2 2 2 17" xfId="7174" xr:uid="{00000000-0005-0000-0000-00005D1E0000}"/>
    <cellStyle name="Normal 2 2 2 2 17 2" xfId="48676" xr:uid="{00000000-0005-0000-0000-00005E1E0000}"/>
    <cellStyle name="Normal 2 2 2 2 18" xfId="7175" xr:uid="{00000000-0005-0000-0000-00005F1E0000}"/>
    <cellStyle name="Normal 2 2 2 2 18 2" xfId="48677" xr:uid="{00000000-0005-0000-0000-0000601E0000}"/>
    <cellStyle name="Normal 2 2 2 2 19" xfId="7176" xr:uid="{00000000-0005-0000-0000-0000611E0000}"/>
    <cellStyle name="Normal 2 2 2 2 19 2" xfId="48678" xr:uid="{00000000-0005-0000-0000-0000621E0000}"/>
    <cellStyle name="Normal 2 2 2 2 2" xfId="7177" xr:uid="{00000000-0005-0000-0000-0000631E0000}"/>
    <cellStyle name="Normal 2 2 2 2 2 10" xfId="7178" xr:uid="{00000000-0005-0000-0000-0000641E0000}"/>
    <cellStyle name="Normal 2 2 2 2 2 10 2" xfId="48680" xr:uid="{00000000-0005-0000-0000-0000651E0000}"/>
    <cellStyle name="Normal 2 2 2 2 2 11" xfId="7179" xr:uid="{00000000-0005-0000-0000-0000661E0000}"/>
    <cellStyle name="Normal 2 2 2 2 2 11 2" xfId="48682" xr:uid="{00000000-0005-0000-0000-0000671E0000}"/>
    <cellStyle name="Normal 2 2 2 2 2 11 3" xfId="48683" xr:uid="{00000000-0005-0000-0000-0000681E0000}"/>
    <cellStyle name="Normal 2 2 2 2 2 11 4" xfId="48684" xr:uid="{00000000-0005-0000-0000-0000691E0000}"/>
    <cellStyle name="Normal 2 2 2 2 2 11 5" xfId="48685" xr:uid="{00000000-0005-0000-0000-00006A1E0000}"/>
    <cellStyle name="Normal 2 2 2 2 2 11 6" xfId="48686" xr:uid="{00000000-0005-0000-0000-00006B1E0000}"/>
    <cellStyle name="Normal 2 2 2 2 2 11 7" xfId="48687" xr:uid="{00000000-0005-0000-0000-00006C1E0000}"/>
    <cellStyle name="Normal 2 2 2 2 2 11 8" xfId="48681" xr:uid="{00000000-0005-0000-0000-00006D1E0000}"/>
    <cellStyle name="Normal 2 2 2 2 2 12" xfId="7180" xr:uid="{00000000-0005-0000-0000-00006E1E0000}"/>
    <cellStyle name="Normal 2 2 2 2 2 12 2" xfId="48688" xr:uid="{00000000-0005-0000-0000-00006F1E0000}"/>
    <cellStyle name="Normal 2 2 2 2 2 13" xfId="7181" xr:uid="{00000000-0005-0000-0000-0000701E0000}"/>
    <cellStyle name="Normal 2 2 2 2 2 13 2" xfId="48689" xr:uid="{00000000-0005-0000-0000-0000711E0000}"/>
    <cellStyle name="Normal 2 2 2 2 2 14" xfId="7182" xr:uid="{00000000-0005-0000-0000-0000721E0000}"/>
    <cellStyle name="Normal 2 2 2 2 2 14 2" xfId="48690" xr:uid="{00000000-0005-0000-0000-0000731E0000}"/>
    <cellStyle name="Normal 2 2 2 2 2 15" xfId="7183" xr:uid="{00000000-0005-0000-0000-0000741E0000}"/>
    <cellStyle name="Normal 2 2 2 2 2 15 2" xfId="48691" xr:uid="{00000000-0005-0000-0000-0000751E0000}"/>
    <cellStyle name="Normal 2 2 2 2 2 16" xfId="7184" xr:uid="{00000000-0005-0000-0000-0000761E0000}"/>
    <cellStyle name="Normal 2 2 2 2 2 16 2" xfId="48692" xr:uid="{00000000-0005-0000-0000-0000771E0000}"/>
    <cellStyle name="Normal 2 2 2 2 2 17" xfId="7185" xr:uid="{00000000-0005-0000-0000-0000781E0000}"/>
    <cellStyle name="Normal 2 2 2 2 2 17 2" xfId="48693" xr:uid="{00000000-0005-0000-0000-0000791E0000}"/>
    <cellStyle name="Normal 2 2 2 2 2 18" xfId="7186" xr:uid="{00000000-0005-0000-0000-00007A1E0000}"/>
    <cellStyle name="Normal 2 2 2 2 2 18 2" xfId="48694" xr:uid="{00000000-0005-0000-0000-00007B1E0000}"/>
    <cellStyle name="Normal 2 2 2 2 2 19" xfId="7187" xr:uid="{00000000-0005-0000-0000-00007C1E0000}"/>
    <cellStyle name="Normal 2 2 2 2 2 19 2" xfId="48695" xr:uid="{00000000-0005-0000-0000-00007D1E0000}"/>
    <cellStyle name="Normal 2 2 2 2 2 2" xfId="7188" xr:uid="{00000000-0005-0000-0000-00007E1E0000}"/>
    <cellStyle name="Normal 2 2 2 2 2 2 10" xfId="7189" xr:uid="{00000000-0005-0000-0000-00007F1E0000}"/>
    <cellStyle name="Normal 2 2 2 2 2 2 10 2" xfId="48698" xr:uid="{00000000-0005-0000-0000-0000801E0000}"/>
    <cellStyle name="Normal 2 2 2 2 2 2 10 3" xfId="48699" xr:uid="{00000000-0005-0000-0000-0000811E0000}"/>
    <cellStyle name="Normal 2 2 2 2 2 2 10 4" xfId="48700" xr:uid="{00000000-0005-0000-0000-0000821E0000}"/>
    <cellStyle name="Normal 2 2 2 2 2 2 10 5" xfId="48701" xr:uid="{00000000-0005-0000-0000-0000831E0000}"/>
    <cellStyle name="Normal 2 2 2 2 2 2 10 6" xfId="48702" xr:uid="{00000000-0005-0000-0000-0000841E0000}"/>
    <cellStyle name="Normal 2 2 2 2 2 2 10 7" xfId="48703" xr:uid="{00000000-0005-0000-0000-0000851E0000}"/>
    <cellStyle name="Normal 2 2 2 2 2 2 10 8" xfId="48697" xr:uid="{00000000-0005-0000-0000-0000861E0000}"/>
    <cellStyle name="Normal 2 2 2 2 2 2 11" xfId="7190" xr:uid="{00000000-0005-0000-0000-0000871E0000}"/>
    <cellStyle name="Normal 2 2 2 2 2 2 11 2" xfId="48704" xr:uid="{00000000-0005-0000-0000-0000881E0000}"/>
    <cellStyle name="Normal 2 2 2 2 2 2 12" xfId="7191" xr:uid="{00000000-0005-0000-0000-0000891E0000}"/>
    <cellStyle name="Normal 2 2 2 2 2 2 12 2" xfId="48705" xr:uid="{00000000-0005-0000-0000-00008A1E0000}"/>
    <cellStyle name="Normal 2 2 2 2 2 2 13" xfId="7192" xr:uid="{00000000-0005-0000-0000-00008B1E0000}"/>
    <cellStyle name="Normal 2 2 2 2 2 2 13 2" xfId="48706" xr:uid="{00000000-0005-0000-0000-00008C1E0000}"/>
    <cellStyle name="Normal 2 2 2 2 2 2 14" xfId="7193" xr:uid="{00000000-0005-0000-0000-00008D1E0000}"/>
    <cellStyle name="Normal 2 2 2 2 2 2 14 2" xfId="48707" xr:uid="{00000000-0005-0000-0000-00008E1E0000}"/>
    <cellStyle name="Normal 2 2 2 2 2 2 15" xfId="7194" xr:uid="{00000000-0005-0000-0000-00008F1E0000}"/>
    <cellStyle name="Normal 2 2 2 2 2 2 15 2" xfId="48708" xr:uid="{00000000-0005-0000-0000-0000901E0000}"/>
    <cellStyle name="Normal 2 2 2 2 2 2 16" xfId="7195" xr:uid="{00000000-0005-0000-0000-0000911E0000}"/>
    <cellStyle name="Normal 2 2 2 2 2 2 16 2" xfId="48709" xr:uid="{00000000-0005-0000-0000-0000921E0000}"/>
    <cellStyle name="Normal 2 2 2 2 2 2 17" xfId="7196" xr:uid="{00000000-0005-0000-0000-0000931E0000}"/>
    <cellStyle name="Normal 2 2 2 2 2 2 17 2" xfId="48710" xr:uid="{00000000-0005-0000-0000-0000941E0000}"/>
    <cellStyle name="Normal 2 2 2 2 2 2 18" xfId="7197" xr:uid="{00000000-0005-0000-0000-0000951E0000}"/>
    <cellStyle name="Normal 2 2 2 2 2 2 18 2" xfId="48711" xr:uid="{00000000-0005-0000-0000-0000961E0000}"/>
    <cellStyle name="Normal 2 2 2 2 2 2 19" xfId="7198" xr:uid="{00000000-0005-0000-0000-0000971E0000}"/>
    <cellStyle name="Normal 2 2 2 2 2 2 19 2" xfId="48712" xr:uid="{00000000-0005-0000-0000-0000981E0000}"/>
    <cellStyle name="Normal 2 2 2 2 2 2 2" xfId="7199" xr:uid="{00000000-0005-0000-0000-0000991E0000}"/>
    <cellStyle name="Normal 2 2 2 2 2 2 2 10" xfId="7200" xr:uid="{00000000-0005-0000-0000-00009A1E0000}"/>
    <cellStyle name="Normal 2 2 2 2 2 2 2 10 2" xfId="48715" xr:uid="{00000000-0005-0000-0000-00009B1E0000}"/>
    <cellStyle name="Normal 2 2 2 2 2 2 2 10 3" xfId="48716" xr:uid="{00000000-0005-0000-0000-00009C1E0000}"/>
    <cellStyle name="Normal 2 2 2 2 2 2 2 10 4" xfId="48717" xr:uid="{00000000-0005-0000-0000-00009D1E0000}"/>
    <cellStyle name="Normal 2 2 2 2 2 2 2 10 5" xfId="48718" xr:uid="{00000000-0005-0000-0000-00009E1E0000}"/>
    <cellStyle name="Normal 2 2 2 2 2 2 2 10 6" xfId="48719" xr:uid="{00000000-0005-0000-0000-00009F1E0000}"/>
    <cellStyle name="Normal 2 2 2 2 2 2 2 10 7" xfId="48720" xr:uid="{00000000-0005-0000-0000-0000A01E0000}"/>
    <cellStyle name="Normal 2 2 2 2 2 2 2 10 8" xfId="48714" xr:uid="{00000000-0005-0000-0000-0000A11E0000}"/>
    <cellStyle name="Normal 2 2 2 2 2 2 2 11" xfId="7201" xr:uid="{00000000-0005-0000-0000-0000A21E0000}"/>
    <cellStyle name="Normal 2 2 2 2 2 2 2 11 2" xfId="48721" xr:uid="{00000000-0005-0000-0000-0000A31E0000}"/>
    <cellStyle name="Normal 2 2 2 2 2 2 2 12" xfId="7202" xr:uid="{00000000-0005-0000-0000-0000A41E0000}"/>
    <cellStyle name="Normal 2 2 2 2 2 2 2 12 2" xfId="48722" xr:uid="{00000000-0005-0000-0000-0000A51E0000}"/>
    <cellStyle name="Normal 2 2 2 2 2 2 2 13" xfId="7203" xr:uid="{00000000-0005-0000-0000-0000A61E0000}"/>
    <cellStyle name="Normal 2 2 2 2 2 2 2 13 2" xfId="48723" xr:uid="{00000000-0005-0000-0000-0000A71E0000}"/>
    <cellStyle name="Normal 2 2 2 2 2 2 2 14" xfId="7204" xr:uid="{00000000-0005-0000-0000-0000A81E0000}"/>
    <cellStyle name="Normal 2 2 2 2 2 2 2 14 2" xfId="48724" xr:uid="{00000000-0005-0000-0000-0000A91E0000}"/>
    <cellStyle name="Normal 2 2 2 2 2 2 2 15" xfId="7205" xr:uid="{00000000-0005-0000-0000-0000AA1E0000}"/>
    <cellStyle name="Normal 2 2 2 2 2 2 2 15 2" xfId="48725" xr:uid="{00000000-0005-0000-0000-0000AB1E0000}"/>
    <cellStyle name="Normal 2 2 2 2 2 2 2 16" xfId="7206" xr:uid="{00000000-0005-0000-0000-0000AC1E0000}"/>
    <cellStyle name="Normal 2 2 2 2 2 2 2 16 2" xfId="48726" xr:uid="{00000000-0005-0000-0000-0000AD1E0000}"/>
    <cellStyle name="Normal 2 2 2 2 2 2 2 17" xfId="7207" xr:uid="{00000000-0005-0000-0000-0000AE1E0000}"/>
    <cellStyle name="Normal 2 2 2 2 2 2 2 17 2" xfId="48727" xr:uid="{00000000-0005-0000-0000-0000AF1E0000}"/>
    <cellStyle name="Normal 2 2 2 2 2 2 2 18" xfId="7208" xr:uid="{00000000-0005-0000-0000-0000B01E0000}"/>
    <cellStyle name="Normal 2 2 2 2 2 2 2 18 2" xfId="48728" xr:uid="{00000000-0005-0000-0000-0000B11E0000}"/>
    <cellStyle name="Normal 2 2 2 2 2 2 2 19" xfId="7209" xr:uid="{00000000-0005-0000-0000-0000B21E0000}"/>
    <cellStyle name="Normal 2 2 2 2 2 2 2 19 2" xfId="48729" xr:uid="{00000000-0005-0000-0000-0000B31E0000}"/>
    <cellStyle name="Normal 2 2 2 2 2 2 2 2" xfId="7210" xr:uid="{00000000-0005-0000-0000-0000B41E0000}"/>
    <cellStyle name="Normal 2 2 2 2 2 2 2 2 10" xfId="7211" xr:uid="{00000000-0005-0000-0000-0000B51E0000}"/>
    <cellStyle name="Normal 2 2 2 2 2 2 2 2 10 2" xfId="48731" xr:uid="{00000000-0005-0000-0000-0000B61E0000}"/>
    <cellStyle name="Normal 2 2 2 2 2 2 2 2 11" xfId="7212" xr:uid="{00000000-0005-0000-0000-0000B71E0000}"/>
    <cellStyle name="Normal 2 2 2 2 2 2 2 2 11 2" xfId="48732" xr:uid="{00000000-0005-0000-0000-0000B81E0000}"/>
    <cellStyle name="Normal 2 2 2 2 2 2 2 2 12" xfId="7213" xr:uid="{00000000-0005-0000-0000-0000B91E0000}"/>
    <cellStyle name="Normal 2 2 2 2 2 2 2 2 12 2" xfId="48733" xr:uid="{00000000-0005-0000-0000-0000BA1E0000}"/>
    <cellStyle name="Normal 2 2 2 2 2 2 2 2 13" xfId="7214" xr:uid="{00000000-0005-0000-0000-0000BB1E0000}"/>
    <cellStyle name="Normal 2 2 2 2 2 2 2 2 13 2" xfId="48734" xr:uid="{00000000-0005-0000-0000-0000BC1E0000}"/>
    <cellStyle name="Normal 2 2 2 2 2 2 2 2 14" xfId="7215" xr:uid="{00000000-0005-0000-0000-0000BD1E0000}"/>
    <cellStyle name="Normal 2 2 2 2 2 2 2 2 14 2" xfId="48735" xr:uid="{00000000-0005-0000-0000-0000BE1E0000}"/>
    <cellStyle name="Normal 2 2 2 2 2 2 2 2 15" xfId="7216" xr:uid="{00000000-0005-0000-0000-0000BF1E0000}"/>
    <cellStyle name="Normal 2 2 2 2 2 2 2 2 15 2" xfId="48736" xr:uid="{00000000-0005-0000-0000-0000C01E0000}"/>
    <cellStyle name="Normal 2 2 2 2 2 2 2 2 16" xfId="7217" xr:uid="{00000000-0005-0000-0000-0000C11E0000}"/>
    <cellStyle name="Normal 2 2 2 2 2 2 2 2 16 2" xfId="48737" xr:uid="{00000000-0005-0000-0000-0000C21E0000}"/>
    <cellStyle name="Normal 2 2 2 2 2 2 2 2 17" xfId="7218" xr:uid="{00000000-0005-0000-0000-0000C31E0000}"/>
    <cellStyle name="Normal 2 2 2 2 2 2 2 2 17 2" xfId="48738" xr:uid="{00000000-0005-0000-0000-0000C41E0000}"/>
    <cellStyle name="Normal 2 2 2 2 2 2 2 2 18" xfId="7219" xr:uid="{00000000-0005-0000-0000-0000C51E0000}"/>
    <cellStyle name="Normal 2 2 2 2 2 2 2 2 18 2" xfId="48739" xr:uid="{00000000-0005-0000-0000-0000C61E0000}"/>
    <cellStyle name="Normal 2 2 2 2 2 2 2 2 19" xfId="7220" xr:uid="{00000000-0005-0000-0000-0000C71E0000}"/>
    <cellStyle name="Normal 2 2 2 2 2 2 2 2 19 2" xfId="48740" xr:uid="{00000000-0005-0000-0000-0000C81E0000}"/>
    <cellStyle name="Normal 2 2 2 2 2 2 2 2 2" xfId="7221" xr:uid="{00000000-0005-0000-0000-0000C91E0000}"/>
    <cellStyle name="Normal 2 2 2 2 2 2 2 2 2 10" xfId="7222" xr:uid="{00000000-0005-0000-0000-0000CA1E0000}"/>
    <cellStyle name="Normal 2 2 2 2 2 2 2 2 2 10 2" xfId="48742" xr:uid="{00000000-0005-0000-0000-0000CB1E0000}"/>
    <cellStyle name="Normal 2 2 2 2 2 2 2 2 2 11" xfId="7223" xr:uid="{00000000-0005-0000-0000-0000CC1E0000}"/>
    <cellStyle name="Normal 2 2 2 2 2 2 2 2 2 11 2" xfId="48743" xr:uid="{00000000-0005-0000-0000-0000CD1E0000}"/>
    <cellStyle name="Normal 2 2 2 2 2 2 2 2 2 12" xfId="7224" xr:uid="{00000000-0005-0000-0000-0000CE1E0000}"/>
    <cellStyle name="Normal 2 2 2 2 2 2 2 2 2 12 2" xfId="48744" xr:uid="{00000000-0005-0000-0000-0000CF1E0000}"/>
    <cellStyle name="Normal 2 2 2 2 2 2 2 2 2 13" xfId="7225" xr:uid="{00000000-0005-0000-0000-0000D01E0000}"/>
    <cellStyle name="Normal 2 2 2 2 2 2 2 2 2 13 2" xfId="48745" xr:uid="{00000000-0005-0000-0000-0000D11E0000}"/>
    <cellStyle name="Normal 2 2 2 2 2 2 2 2 2 14" xfId="7226" xr:uid="{00000000-0005-0000-0000-0000D21E0000}"/>
    <cellStyle name="Normal 2 2 2 2 2 2 2 2 2 14 2" xfId="48746" xr:uid="{00000000-0005-0000-0000-0000D31E0000}"/>
    <cellStyle name="Normal 2 2 2 2 2 2 2 2 2 15" xfId="7227" xr:uid="{00000000-0005-0000-0000-0000D41E0000}"/>
    <cellStyle name="Normal 2 2 2 2 2 2 2 2 2 15 2" xfId="48747" xr:uid="{00000000-0005-0000-0000-0000D51E0000}"/>
    <cellStyle name="Normal 2 2 2 2 2 2 2 2 2 16" xfId="7228" xr:uid="{00000000-0005-0000-0000-0000D61E0000}"/>
    <cellStyle name="Normal 2 2 2 2 2 2 2 2 2 16 2" xfId="48748" xr:uid="{00000000-0005-0000-0000-0000D71E0000}"/>
    <cellStyle name="Normal 2 2 2 2 2 2 2 2 2 17" xfId="7229" xr:uid="{00000000-0005-0000-0000-0000D81E0000}"/>
    <cellStyle name="Normal 2 2 2 2 2 2 2 2 2 17 2" xfId="48749" xr:uid="{00000000-0005-0000-0000-0000D91E0000}"/>
    <cellStyle name="Normal 2 2 2 2 2 2 2 2 2 18" xfId="7230" xr:uid="{00000000-0005-0000-0000-0000DA1E0000}"/>
    <cellStyle name="Normal 2 2 2 2 2 2 2 2 2 18 2" xfId="48750" xr:uid="{00000000-0005-0000-0000-0000DB1E0000}"/>
    <cellStyle name="Normal 2 2 2 2 2 2 2 2 2 19" xfId="48751" xr:uid="{00000000-0005-0000-0000-0000DC1E0000}"/>
    <cellStyle name="Normal 2 2 2 2 2 2 2 2 2 2" xfId="7231" xr:uid="{00000000-0005-0000-0000-0000DD1E0000}"/>
    <cellStyle name="Normal 2 2 2 2 2 2 2 2 2 2 10" xfId="48753" xr:uid="{00000000-0005-0000-0000-0000DE1E0000}"/>
    <cellStyle name="Normal 2 2 2 2 2 2 2 2 2 2 11" xfId="48754" xr:uid="{00000000-0005-0000-0000-0000DF1E0000}"/>
    <cellStyle name="Normal 2 2 2 2 2 2 2 2 2 2 12" xfId="48755" xr:uid="{00000000-0005-0000-0000-0000E01E0000}"/>
    <cellStyle name="Normal 2 2 2 2 2 2 2 2 2 2 13" xfId="48756" xr:uid="{00000000-0005-0000-0000-0000E11E0000}"/>
    <cellStyle name="Normal 2 2 2 2 2 2 2 2 2 2 14" xfId="48757" xr:uid="{00000000-0005-0000-0000-0000E21E0000}"/>
    <cellStyle name="Normal 2 2 2 2 2 2 2 2 2 2 15" xfId="48758" xr:uid="{00000000-0005-0000-0000-0000E31E0000}"/>
    <cellStyle name="Normal 2 2 2 2 2 2 2 2 2 2 16" xfId="48759" xr:uid="{00000000-0005-0000-0000-0000E41E0000}"/>
    <cellStyle name="Normal 2 2 2 2 2 2 2 2 2 2 17" xfId="48760" xr:uid="{00000000-0005-0000-0000-0000E51E0000}"/>
    <cellStyle name="Normal 2 2 2 2 2 2 2 2 2 2 18" xfId="48761" xr:uid="{00000000-0005-0000-0000-0000E61E0000}"/>
    <cellStyle name="Normal 2 2 2 2 2 2 2 2 2 2 19" xfId="48752" xr:uid="{00000000-0005-0000-0000-0000E71E0000}"/>
    <cellStyle name="Normal 2 2 2 2 2 2 2 2 2 2 2" xfId="48762" xr:uid="{00000000-0005-0000-0000-0000E81E0000}"/>
    <cellStyle name="Normal 2 2 2 2 2 2 2 2 2 2 2 2" xfId="48763" xr:uid="{00000000-0005-0000-0000-0000E91E0000}"/>
    <cellStyle name="Normal 2 2 2 2 2 2 2 2 2 2 2 2 2" xfId="48764" xr:uid="{00000000-0005-0000-0000-0000EA1E0000}"/>
    <cellStyle name="Normal 2 2 2 2 2 2 2 2 2 2 2 2 3" xfId="48765" xr:uid="{00000000-0005-0000-0000-0000EB1E0000}"/>
    <cellStyle name="Normal 2 2 2 2 2 2 2 2 2 2 2 2 4" xfId="48766" xr:uid="{00000000-0005-0000-0000-0000EC1E0000}"/>
    <cellStyle name="Normal 2 2 2 2 2 2 2 2 2 2 2 2 5" xfId="48767" xr:uid="{00000000-0005-0000-0000-0000ED1E0000}"/>
    <cellStyle name="Normal 2 2 2 2 2 2 2 2 2 2 2 2 6" xfId="48768" xr:uid="{00000000-0005-0000-0000-0000EE1E0000}"/>
    <cellStyle name="Normal 2 2 2 2 2 2 2 2 2 2 2 2 7" xfId="48769" xr:uid="{00000000-0005-0000-0000-0000EF1E0000}"/>
    <cellStyle name="Normal 2 2 2 2 2 2 2 2 2 2 2 3" xfId="48770" xr:uid="{00000000-0005-0000-0000-0000F01E0000}"/>
    <cellStyle name="Normal 2 2 2 2 2 2 2 2 2 2 2 4" xfId="48771" xr:uid="{00000000-0005-0000-0000-0000F11E0000}"/>
    <cellStyle name="Normal 2 2 2 2 2 2 2 2 2 2 2 5" xfId="48772" xr:uid="{00000000-0005-0000-0000-0000F21E0000}"/>
    <cellStyle name="Normal 2 2 2 2 2 2 2 2 2 2 2 6" xfId="48773" xr:uid="{00000000-0005-0000-0000-0000F31E0000}"/>
    <cellStyle name="Normal 2 2 2 2 2 2 2 2 2 2 2 7" xfId="48774" xr:uid="{00000000-0005-0000-0000-0000F41E0000}"/>
    <cellStyle name="Normal 2 2 2 2 2 2 2 2 2 2 2 8" xfId="48775" xr:uid="{00000000-0005-0000-0000-0000F51E0000}"/>
    <cellStyle name="Normal 2 2 2 2 2 2 2 2 2 2 3" xfId="48776" xr:uid="{00000000-0005-0000-0000-0000F61E0000}"/>
    <cellStyle name="Normal 2 2 2 2 2 2 2 2 2 2 4" xfId="48777" xr:uid="{00000000-0005-0000-0000-0000F71E0000}"/>
    <cellStyle name="Normal 2 2 2 2 2 2 2 2 2 2 5" xfId="48778" xr:uid="{00000000-0005-0000-0000-0000F81E0000}"/>
    <cellStyle name="Normal 2 2 2 2 2 2 2 2 2 2 5 2" xfId="48779" xr:uid="{00000000-0005-0000-0000-0000F91E0000}"/>
    <cellStyle name="Normal 2 2 2 2 2 2 2 2 2 2 5 3" xfId="48780" xr:uid="{00000000-0005-0000-0000-0000FA1E0000}"/>
    <cellStyle name="Normal 2 2 2 2 2 2 2 2 2 2 5 4" xfId="48781" xr:uid="{00000000-0005-0000-0000-0000FB1E0000}"/>
    <cellStyle name="Normal 2 2 2 2 2 2 2 2 2 2 5 5" xfId="48782" xr:uid="{00000000-0005-0000-0000-0000FC1E0000}"/>
    <cellStyle name="Normal 2 2 2 2 2 2 2 2 2 2 5 6" xfId="48783" xr:uid="{00000000-0005-0000-0000-0000FD1E0000}"/>
    <cellStyle name="Normal 2 2 2 2 2 2 2 2 2 2 5 7" xfId="48784" xr:uid="{00000000-0005-0000-0000-0000FE1E0000}"/>
    <cellStyle name="Normal 2 2 2 2 2 2 2 2 2 2 6" xfId="48785" xr:uid="{00000000-0005-0000-0000-0000FF1E0000}"/>
    <cellStyle name="Normal 2 2 2 2 2 2 2 2 2 2 7" xfId="48786" xr:uid="{00000000-0005-0000-0000-0000001F0000}"/>
    <cellStyle name="Normal 2 2 2 2 2 2 2 2 2 2 8" xfId="48787" xr:uid="{00000000-0005-0000-0000-0000011F0000}"/>
    <cellStyle name="Normal 2 2 2 2 2 2 2 2 2 2 9" xfId="48788" xr:uid="{00000000-0005-0000-0000-0000021F0000}"/>
    <cellStyle name="Normal 2 2 2 2 2 2 2 2 2 20" xfId="48741" xr:uid="{00000000-0005-0000-0000-0000031F0000}"/>
    <cellStyle name="Normal 2 2 2 2 2 2 2 2 2 3" xfId="7232" xr:uid="{00000000-0005-0000-0000-0000041F0000}"/>
    <cellStyle name="Normal 2 2 2 2 2 2 2 2 2 3 2" xfId="48789" xr:uid="{00000000-0005-0000-0000-0000051F0000}"/>
    <cellStyle name="Normal 2 2 2 2 2 2 2 2 2 4" xfId="7233" xr:uid="{00000000-0005-0000-0000-0000061F0000}"/>
    <cellStyle name="Normal 2 2 2 2 2 2 2 2 2 4 2" xfId="48791" xr:uid="{00000000-0005-0000-0000-0000071F0000}"/>
    <cellStyle name="Normal 2 2 2 2 2 2 2 2 2 4 2 2" xfId="48792" xr:uid="{00000000-0005-0000-0000-0000081F0000}"/>
    <cellStyle name="Normal 2 2 2 2 2 2 2 2 2 4 2 3" xfId="48793" xr:uid="{00000000-0005-0000-0000-0000091F0000}"/>
    <cellStyle name="Normal 2 2 2 2 2 2 2 2 2 4 2 4" xfId="48794" xr:uid="{00000000-0005-0000-0000-00000A1F0000}"/>
    <cellStyle name="Normal 2 2 2 2 2 2 2 2 2 4 2 5" xfId="48795" xr:uid="{00000000-0005-0000-0000-00000B1F0000}"/>
    <cellStyle name="Normal 2 2 2 2 2 2 2 2 2 4 2 6" xfId="48796" xr:uid="{00000000-0005-0000-0000-00000C1F0000}"/>
    <cellStyle name="Normal 2 2 2 2 2 2 2 2 2 4 2 7" xfId="48797" xr:uid="{00000000-0005-0000-0000-00000D1F0000}"/>
    <cellStyle name="Normal 2 2 2 2 2 2 2 2 2 4 3" xfId="48798" xr:uid="{00000000-0005-0000-0000-00000E1F0000}"/>
    <cellStyle name="Normal 2 2 2 2 2 2 2 2 2 4 4" xfId="48799" xr:uid="{00000000-0005-0000-0000-00000F1F0000}"/>
    <cellStyle name="Normal 2 2 2 2 2 2 2 2 2 4 5" xfId="48800" xr:uid="{00000000-0005-0000-0000-0000101F0000}"/>
    <cellStyle name="Normal 2 2 2 2 2 2 2 2 2 4 6" xfId="48801" xr:uid="{00000000-0005-0000-0000-0000111F0000}"/>
    <cellStyle name="Normal 2 2 2 2 2 2 2 2 2 4 7" xfId="48802" xr:uid="{00000000-0005-0000-0000-0000121F0000}"/>
    <cellStyle name="Normal 2 2 2 2 2 2 2 2 2 4 8" xfId="48803" xr:uid="{00000000-0005-0000-0000-0000131F0000}"/>
    <cellStyle name="Normal 2 2 2 2 2 2 2 2 2 4 9" xfId="48790" xr:uid="{00000000-0005-0000-0000-0000141F0000}"/>
    <cellStyle name="Normal 2 2 2 2 2 2 2 2 2 5" xfId="7234" xr:uid="{00000000-0005-0000-0000-0000151F0000}"/>
    <cellStyle name="Normal 2 2 2 2 2 2 2 2 2 5 2" xfId="48804" xr:uid="{00000000-0005-0000-0000-0000161F0000}"/>
    <cellStyle name="Normal 2 2 2 2 2 2 2 2 2 6" xfId="7235" xr:uid="{00000000-0005-0000-0000-0000171F0000}"/>
    <cellStyle name="Normal 2 2 2 2 2 2 2 2 2 6 2" xfId="48806" xr:uid="{00000000-0005-0000-0000-0000181F0000}"/>
    <cellStyle name="Normal 2 2 2 2 2 2 2 2 2 6 3" xfId="48807" xr:uid="{00000000-0005-0000-0000-0000191F0000}"/>
    <cellStyle name="Normal 2 2 2 2 2 2 2 2 2 6 4" xfId="48808" xr:uid="{00000000-0005-0000-0000-00001A1F0000}"/>
    <cellStyle name="Normal 2 2 2 2 2 2 2 2 2 6 5" xfId="48809" xr:uid="{00000000-0005-0000-0000-00001B1F0000}"/>
    <cellStyle name="Normal 2 2 2 2 2 2 2 2 2 6 6" xfId="48810" xr:uid="{00000000-0005-0000-0000-00001C1F0000}"/>
    <cellStyle name="Normal 2 2 2 2 2 2 2 2 2 6 7" xfId="48811" xr:uid="{00000000-0005-0000-0000-00001D1F0000}"/>
    <cellStyle name="Normal 2 2 2 2 2 2 2 2 2 6 8" xfId="48805" xr:uid="{00000000-0005-0000-0000-00001E1F0000}"/>
    <cellStyle name="Normal 2 2 2 2 2 2 2 2 2 7" xfId="7236" xr:uid="{00000000-0005-0000-0000-00001F1F0000}"/>
    <cellStyle name="Normal 2 2 2 2 2 2 2 2 2 7 2" xfId="48812" xr:uid="{00000000-0005-0000-0000-0000201F0000}"/>
    <cellStyle name="Normal 2 2 2 2 2 2 2 2 2 8" xfId="7237" xr:uid="{00000000-0005-0000-0000-0000211F0000}"/>
    <cellStyle name="Normal 2 2 2 2 2 2 2 2 2 8 2" xfId="48813" xr:uid="{00000000-0005-0000-0000-0000221F0000}"/>
    <cellStyle name="Normal 2 2 2 2 2 2 2 2 2 9" xfId="7238" xr:uid="{00000000-0005-0000-0000-0000231F0000}"/>
    <cellStyle name="Normal 2 2 2 2 2 2 2 2 2 9 2" xfId="48814" xr:uid="{00000000-0005-0000-0000-0000241F0000}"/>
    <cellStyle name="Normal 2 2 2 2 2 2 2 2 2_Opex Input" xfId="48815" xr:uid="{00000000-0005-0000-0000-0000251F0000}"/>
    <cellStyle name="Normal 2 2 2 2 2 2 2 2 20" xfId="48816" xr:uid="{00000000-0005-0000-0000-0000261F0000}"/>
    <cellStyle name="Normal 2 2 2 2 2 2 2 2 21" xfId="48730" xr:uid="{00000000-0005-0000-0000-0000271F0000}"/>
    <cellStyle name="Normal 2 2 2 2 2 2 2 2 3" xfId="7239" xr:uid="{00000000-0005-0000-0000-0000281F0000}"/>
    <cellStyle name="Normal 2 2 2 2 2 2 2 2 3 2" xfId="48817" xr:uid="{00000000-0005-0000-0000-0000291F0000}"/>
    <cellStyle name="Normal 2 2 2 2 2 2 2 2 4" xfId="7240" xr:uid="{00000000-0005-0000-0000-00002A1F0000}"/>
    <cellStyle name="Normal 2 2 2 2 2 2 2 2 4 2" xfId="48818" xr:uid="{00000000-0005-0000-0000-00002B1F0000}"/>
    <cellStyle name="Normal 2 2 2 2 2 2 2 2 5" xfId="7241" xr:uid="{00000000-0005-0000-0000-00002C1F0000}"/>
    <cellStyle name="Normal 2 2 2 2 2 2 2 2 5 2" xfId="48820" xr:uid="{00000000-0005-0000-0000-00002D1F0000}"/>
    <cellStyle name="Normal 2 2 2 2 2 2 2 2 5 2 2" xfId="48821" xr:uid="{00000000-0005-0000-0000-00002E1F0000}"/>
    <cellStyle name="Normal 2 2 2 2 2 2 2 2 5 2 3" xfId="48822" xr:uid="{00000000-0005-0000-0000-00002F1F0000}"/>
    <cellStyle name="Normal 2 2 2 2 2 2 2 2 5 2 4" xfId="48823" xr:uid="{00000000-0005-0000-0000-0000301F0000}"/>
    <cellStyle name="Normal 2 2 2 2 2 2 2 2 5 2 5" xfId="48824" xr:uid="{00000000-0005-0000-0000-0000311F0000}"/>
    <cellStyle name="Normal 2 2 2 2 2 2 2 2 5 2 6" xfId="48825" xr:uid="{00000000-0005-0000-0000-0000321F0000}"/>
    <cellStyle name="Normal 2 2 2 2 2 2 2 2 5 2 7" xfId="48826" xr:uid="{00000000-0005-0000-0000-0000331F0000}"/>
    <cellStyle name="Normal 2 2 2 2 2 2 2 2 5 3" xfId="48827" xr:uid="{00000000-0005-0000-0000-0000341F0000}"/>
    <cellStyle name="Normal 2 2 2 2 2 2 2 2 5 4" xfId="48828" xr:uid="{00000000-0005-0000-0000-0000351F0000}"/>
    <cellStyle name="Normal 2 2 2 2 2 2 2 2 5 5" xfId="48829" xr:uid="{00000000-0005-0000-0000-0000361F0000}"/>
    <cellStyle name="Normal 2 2 2 2 2 2 2 2 5 6" xfId="48830" xr:uid="{00000000-0005-0000-0000-0000371F0000}"/>
    <cellStyle name="Normal 2 2 2 2 2 2 2 2 5 7" xfId="48831" xr:uid="{00000000-0005-0000-0000-0000381F0000}"/>
    <cellStyle name="Normal 2 2 2 2 2 2 2 2 5 8" xfId="48832" xr:uid="{00000000-0005-0000-0000-0000391F0000}"/>
    <cellStyle name="Normal 2 2 2 2 2 2 2 2 5 9" xfId="48819" xr:uid="{00000000-0005-0000-0000-00003A1F0000}"/>
    <cellStyle name="Normal 2 2 2 2 2 2 2 2 6" xfId="7242" xr:uid="{00000000-0005-0000-0000-00003B1F0000}"/>
    <cellStyle name="Normal 2 2 2 2 2 2 2 2 6 2" xfId="48833" xr:uid="{00000000-0005-0000-0000-00003C1F0000}"/>
    <cellStyle name="Normal 2 2 2 2 2 2 2 2 7" xfId="7243" xr:uid="{00000000-0005-0000-0000-00003D1F0000}"/>
    <cellStyle name="Normal 2 2 2 2 2 2 2 2 7 2" xfId="48835" xr:uid="{00000000-0005-0000-0000-00003E1F0000}"/>
    <cellStyle name="Normal 2 2 2 2 2 2 2 2 7 3" xfId="48836" xr:uid="{00000000-0005-0000-0000-00003F1F0000}"/>
    <cellStyle name="Normal 2 2 2 2 2 2 2 2 7 4" xfId="48837" xr:uid="{00000000-0005-0000-0000-0000401F0000}"/>
    <cellStyle name="Normal 2 2 2 2 2 2 2 2 7 5" xfId="48838" xr:uid="{00000000-0005-0000-0000-0000411F0000}"/>
    <cellStyle name="Normal 2 2 2 2 2 2 2 2 7 6" xfId="48839" xr:uid="{00000000-0005-0000-0000-0000421F0000}"/>
    <cellStyle name="Normal 2 2 2 2 2 2 2 2 7 7" xfId="48840" xr:uid="{00000000-0005-0000-0000-0000431F0000}"/>
    <cellStyle name="Normal 2 2 2 2 2 2 2 2 7 8" xfId="48834" xr:uid="{00000000-0005-0000-0000-0000441F0000}"/>
    <cellStyle name="Normal 2 2 2 2 2 2 2 2 8" xfId="7244" xr:uid="{00000000-0005-0000-0000-0000451F0000}"/>
    <cellStyle name="Normal 2 2 2 2 2 2 2 2 8 2" xfId="48841" xr:uid="{00000000-0005-0000-0000-0000461F0000}"/>
    <cellStyle name="Normal 2 2 2 2 2 2 2 2 9" xfId="7245" xr:uid="{00000000-0005-0000-0000-0000471F0000}"/>
    <cellStyle name="Normal 2 2 2 2 2 2 2 2 9 2" xfId="48842" xr:uid="{00000000-0005-0000-0000-0000481F0000}"/>
    <cellStyle name="Normal 2 2 2 2 2 2 2 2_ELEC SAP FCST UPLOAD" xfId="7246" xr:uid="{00000000-0005-0000-0000-0000491F0000}"/>
    <cellStyle name="Normal 2 2 2 2 2 2 2 20" xfId="7247" xr:uid="{00000000-0005-0000-0000-00004A1F0000}"/>
    <cellStyle name="Normal 2 2 2 2 2 2 2 20 2" xfId="48843" xr:uid="{00000000-0005-0000-0000-00004B1F0000}"/>
    <cellStyle name="Normal 2 2 2 2 2 2 2 21" xfId="7248" xr:uid="{00000000-0005-0000-0000-00004C1F0000}"/>
    <cellStyle name="Normal 2 2 2 2 2 2 2 21 2" xfId="48844" xr:uid="{00000000-0005-0000-0000-00004D1F0000}"/>
    <cellStyle name="Normal 2 2 2 2 2 2 2 22" xfId="7249" xr:uid="{00000000-0005-0000-0000-00004E1F0000}"/>
    <cellStyle name="Normal 2 2 2 2 2 2 2 22 2" xfId="48845" xr:uid="{00000000-0005-0000-0000-00004F1F0000}"/>
    <cellStyle name="Normal 2 2 2 2 2 2 2 23" xfId="48846" xr:uid="{00000000-0005-0000-0000-0000501F0000}"/>
    <cellStyle name="Normal 2 2 2 2 2 2 2 24" xfId="48713" xr:uid="{00000000-0005-0000-0000-0000511F0000}"/>
    <cellStyle name="Normal 2 2 2 2 2 2 2 3" xfId="7250" xr:uid="{00000000-0005-0000-0000-0000521F0000}"/>
    <cellStyle name="Normal 2 2 2 2 2 2 2 3 2" xfId="48847" xr:uid="{00000000-0005-0000-0000-0000531F0000}"/>
    <cellStyle name="Normal 2 2 2 2 2 2 2 4" xfId="7251" xr:uid="{00000000-0005-0000-0000-0000541F0000}"/>
    <cellStyle name="Normal 2 2 2 2 2 2 2 4 2" xfId="48848" xr:uid="{00000000-0005-0000-0000-0000551F0000}"/>
    <cellStyle name="Normal 2 2 2 2 2 2 2 5" xfId="7252" xr:uid="{00000000-0005-0000-0000-0000561F0000}"/>
    <cellStyle name="Normal 2 2 2 2 2 2 2 5 2" xfId="48849" xr:uid="{00000000-0005-0000-0000-0000571F0000}"/>
    <cellStyle name="Normal 2 2 2 2 2 2 2 6" xfId="7253" xr:uid="{00000000-0005-0000-0000-0000581F0000}"/>
    <cellStyle name="Normal 2 2 2 2 2 2 2 6 2" xfId="48850" xr:uid="{00000000-0005-0000-0000-0000591F0000}"/>
    <cellStyle name="Normal 2 2 2 2 2 2 2 7" xfId="7254" xr:uid="{00000000-0005-0000-0000-00005A1F0000}"/>
    <cellStyle name="Normal 2 2 2 2 2 2 2 7 2" xfId="48851" xr:uid="{00000000-0005-0000-0000-00005B1F0000}"/>
    <cellStyle name="Normal 2 2 2 2 2 2 2 8" xfId="7255" xr:uid="{00000000-0005-0000-0000-00005C1F0000}"/>
    <cellStyle name="Normal 2 2 2 2 2 2 2 8 2" xfId="48853" xr:uid="{00000000-0005-0000-0000-00005D1F0000}"/>
    <cellStyle name="Normal 2 2 2 2 2 2 2 8 2 2" xfId="48854" xr:uid="{00000000-0005-0000-0000-00005E1F0000}"/>
    <cellStyle name="Normal 2 2 2 2 2 2 2 8 2 3" xfId="48855" xr:uid="{00000000-0005-0000-0000-00005F1F0000}"/>
    <cellStyle name="Normal 2 2 2 2 2 2 2 8 2 4" xfId="48856" xr:uid="{00000000-0005-0000-0000-0000601F0000}"/>
    <cellStyle name="Normal 2 2 2 2 2 2 2 8 2 5" xfId="48857" xr:uid="{00000000-0005-0000-0000-0000611F0000}"/>
    <cellStyle name="Normal 2 2 2 2 2 2 2 8 2 6" xfId="48858" xr:uid="{00000000-0005-0000-0000-0000621F0000}"/>
    <cellStyle name="Normal 2 2 2 2 2 2 2 8 2 7" xfId="48859" xr:uid="{00000000-0005-0000-0000-0000631F0000}"/>
    <cellStyle name="Normal 2 2 2 2 2 2 2 8 3" xfId="48860" xr:uid="{00000000-0005-0000-0000-0000641F0000}"/>
    <cellStyle name="Normal 2 2 2 2 2 2 2 8 4" xfId="48861" xr:uid="{00000000-0005-0000-0000-0000651F0000}"/>
    <cellStyle name="Normal 2 2 2 2 2 2 2 8 5" xfId="48862" xr:uid="{00000000-0005-0000-0000-0000661F0000}"/>
    <cellStyle name="Normal 2 2 2 2 2 2 2 8 6" xfId="48863" xr:uid="{00000000-0005-0000-0000-0000671F0000}"/>
    <cellStyle name="Normal 2 2 2 2 2 2 2 8 7" xfId="48864" xr:uid="{00000000-0005-0000-0000-0000681F0000}"/>
    <cellStyle name="Normal 2 2 2 2 2 2 2 8 8" xfId="48865" xr:uid="{00000000-0005-0000-0000-0000691F0000}"/>
    <cellStyle name="Normal 2 2 2 2 2 2 2 8 9" xfId="48852" xr:uid="{00000000-0005-0000-0000-00006A1F0000}"/>
    <cellStyle name="Normal 2 2 2 2 2 2 2 9" xfId="7256" xr:uid="{00000000-0005-0000-0000-00006B1F0000}"/>
    <cellStyle name="Normal 2 2 2 2 2 2 2 9 2" xfId="48866" xr:uid="{00000000-0005-0000-0000-00006C1F0000}"/>
    <cellStyle name="Normal 2 2 2 2 2 2 2_ELEC SAP FCST UPLOAD" xfId="7257" xr:uid="{00000000-0005-0000-0000-00006D1F0000}"/>
    <cellStyle name="Normal 2 2 2 2 2 2 20" xfId="7258" xr:uid="{00000000-0005-0000-0000-00006E1F0000}"/>
    <cellStyle name="Normal 2 2 2 2 2 2 20 2" xfId="48867" xr:uid="{00000000-0005-0000-0000-00006F1F0000}"/>
    <cellStyle name="Normal 2 2 2 2 2 2 21" xfId="7259" xr:uid="{00000000-0005-0000-0000-0000701F0000}"/>
    <cellStyle name="Normal 2 2 2 2 2 2 21 2" xfId="48868" xr:uid="{00000000-0005-0000-0000-0000711F0000}"/>
    <cellStyle name="Normal 2 2 2 2 2 2 22" xfId="7260" xr:uid="{00000000-0005-0000-0000-0000721F0000}"/>
    <cellStyle name="Normal 2 2 2 2 2 2 22 2" xfId="48869" xr:uid="{00000000-0005-0000-0000-0000731F0000}"/>
    <cellStyle name="Normal 2 2 2 2 2 2 23" xfId="48870" xr:uid="{00000000-0005-0000-0000-0000741F0000}"/>
    <cellStyle name="Normal 2 2 2 2 2 2 24" xfId="48696" xr:uid="{00000000-0005-0000-0000-0000751F0000}"/>
    <cellStyle name="Normal 2 2 2 2 2 2 3" xfId="7261" xr:uid="{00000000-0005-0000-0000-0000761F0000}"/>
    <cellStyle name="Normal 2 2 2 2 2 2 3 2" xfId="7262" xr:uid="{00000000-0005-0000-0000-0000771F0000}"/>
    <cellStyle name="Normal 2 2 2 2 2 2 3 2 2" xfId="48872" xr:uid="{00000000-0005-0000-0000-0000781F0000}"/>
    <cellStyle name="Normal 2 2 2 2 2 2 3 3" xfId="7263" xr:uid="{00000000-0005-0000-0000-0000791F0000}"/>
    <cellStyle name="Normal 2 2 2 2 2 2 3 3 2" xfId="48873" xr:uid="{00000000-0005-0000-0000-00007A1F0000}"/>
    <cellStyle name="Normal 2 2 2 2 2 2 3 4" xfId="48871" xr:uid="{00000000-0005-0000-0000-00007B1F0000}"/>
    <cellStyle name="Normal 2 2 2 2 2 2 3_ELEC SAP FCST UPLOAD" xfId="7264" xr:uid="{00000000-0005-0000-0000-00007C1F0000}"/>
    <cellStyle name="Normal 2 2 2 2 2 2 4" xfId="7265" xr:uid="{00000000-0005-0000-0000-00007D1F0000}"/>
    <cellStyle name="Normal 2 2 2 2 2 2 4 2" xfId="48874" xr:uid="{00000000-0005-0000-0000-00007E1F0000}"/>
    <cellStyle name="Normal 2 2 2 2 2 2 5" xfId="7266" xr:uid="{00000000-0005-0000-0000-00007F1F0000}"/>
    <cellStyle name="Normal 2 2 2 2 2 2 5 2" xfId="48875" xr:uid="{00000000-0005-0000-0000-0000801F0000}"/>
    <cellStyle name="Normal 2 2 2 2 2 2 6" xfId="7267" xr:uid="{00000000-0005-0000-0000-0000811F0000}"/>
    <cellStyle name="Normal 2 2 2 2 2 2 6 2" xfId="48876" xr:uid="{00000000-0005-0000-0000-0000821F0000}"/>
    <cellStyle name="Normal 2 2 2 2 2 2 7" xfId="7268" xr:uid="{00000000-0005-0000-0000-0000831F0000}"/>
    <cellStyle name="Normal 2 2 2 2 2 2 7 2" xfId="48877" xr:uid="{00000000-0005-0000-0000-0000841F0000}"/>
    <cellStyle name="Normal 2 2 2 2 2 2 8" xfId="7269" xr:uid="{00000000-0005-0000-0000-0000851F0000}"/>
    <cellStyle name="Normal 2 2 2 2 2 2 8 2" xfId="48879" xr:uid="{00000000-0005-0000-0000-0000861F0000}"/>
    <cellStyle name="Normal 2 2 2 2 2 2 8 2 2" xfId="48880" xr:uid="{00000000-0005-0000-0000-0000871F0000}"/>
    <cellStyle name="Normal 2 2 2 2 2 2 8 2 3" xfId="48881" xr:uid="{00000000-0005-0000-0000-0000881F0000}"/>
    <cellStyle name="Normal 2 2 2 2 2 2 8 2 4" xfId="48882" xr:uid="{00000000-0005-0000-0000-0000891F0000}"/>
    <cellStyle name="Normal 2 2 2 2 2 2 8 2 5" xfId="48883" xr:uid="{00000000-0005-0000-0000-00008A1F0000}"/>
    <cellStyle name="Normal 2 2 2 2 2 2 8 2 6" xfId="48884" xr:uid="{00000000-0005-0000-0000-00008B1F0000}"/>
    <cellStyle name="Normal 2 2 2 2 2 2 8 2 7" xfId="48885" xr:uid="{00000000-0005-0000-0000-00008C1F0000}"/>
    <cellStyle name="Normal 2 2 2 2 2 2 8 3" xfId="48886" xr:uid="{00000000-0005-0000-0000-00008D1F0000}"/>
    <cellStyle name="Normal 2 2 2 2 2 2 8 4" xfId="48887" xr:uid="{00000000-0005-0000-0000-00008E1F0000}"/>
    <cellStyle name="Normal 2 2 2 2 2 2 8 5" xfId="48888" xr:uid="{00000000-0005-0000-0000-00008F1F0000}"/>
    <cellStyle name="Normal 2 2 2 2 2 2 8 6" xfId="48889" xr:uid="{00000000-0005-0000-0000-0000901F0000}"/>
    <cellStyle name="Normal 2 2 2 2 2 2 8 7" xfId="48890" xr:uid="{00000000-0005-0000-0000-0000911F0000}"/>
    <cellStyle name="Normal 2 2 2 2 2 2 8 8" xfId="48891" xr:uid="{00000000-0005-0000-0000-0000921F0000}"/>
    <cellStyle name="Normal 2 2 2 2 2 2 8 9" xfId="48878" xr:uid="{00000000-0005-0000-0000-0000931F0000}"/>
    <cellStyle name="Normal 2 2 2 2 2 2 9" xfId="7270" xr:uid="{00000000-0005-0000-0000-0000941F0000}"/>
    <cellStyle name="Normal 2 2 2 2 2 2 9 2" xfId="48892" xr:uid="{00000000-0005-0000-0000-0000951F0000}"/>
    <cellStyle name="Normal 2 2 2 2 2 2_ELEC SAP FCST UPLOAD" xfId="7271" xr:uid="{00000000-0005-0000-0000-0000961F0000}"/>
    <cellStyle name="Normal 2 2 2 2 2 20" xfId="7272" xr:uid="{00000000-0005-0000-0000-0000971F0000}"/>
    <cellStyle name="Normal 2 2 2 2 2 20 2" xfId="48893" xr:uid="{00000000-0005-0000-0000-0000981F0000}"/>
    <cellStyle name="Normal 2 2 2 2 2 21" xfId="7273" xr:uid="{00000000-0005-0000-0000-0000991F0000}"/>
    <cellStyle name="Normal 2 2 2 2 2 21 2" xfId="48894" xr:uid="{00000000-0005-0000-0000-00009A1F0000}"/>
    <cellStyle name="Normal 2 2 2 2 2 22" xfId="7274" xr:uid="{00000000-0005-0000-0000-00009B1F0000}"/>
    <cellStyle name="Normal 2 2 2 2 2 22 2" xfId="48895" xr:uid="{00000000-0005-0000-0000-00009C1F0000}"/>
    <cellStyle name="Normal 2 2 2 2 2 23" xfId="7275" xr:uid="{00000000-0005-0000-0000-00009D1F0000}"/>
    <cellStyle name="Normal 2 2 2 2 2 23 2" xfId="48896" xr:uid="{00000000-0005-0000-0000-00009E1F0000}"/>
    <cellStyle name="Normal 2 2 2 2 2 24" xfId="48897" xr:uid="{00000000-0005-0000-0000-00009F1F0000}"/>
    <cellStyle name="Normal 2 2 2 2 2 25" xfId="48679" xr:uid="{00000000-0005-0000-0000-0000A01F0000}"/>
    <cellStyle name="Normal 2 2 2 2 2 3" xfId="7276" xr:uid="{00000000-0005-0000-0000-0000A11F0000}"/>
    <cellStyle name="Normal 2 2 2 2 2 3 2" xfId="7277" xr:uid="{00000000-0005-0000-0000-0000A21F0000}"/>
    <cellStyle name="Normal 2 2 2 2 2 3 2 2" xfId="48899" xr:uid="{00000000-0005-0000-0000-0000A31F0000}"/>
    <cellStyle name="Normal 2 2 2 2 2 3 3" xfId="7278" xr:uid="{00000000-0005-0000-0000-0000A41F0000}"/>
    <cellStyle name="Normal 2 2 2 2 2 3 3 2" xfId="48900" xr:uid="{00000000-0005-0000-0000-0000A51F0000}"/>
    <cellStyle name="Normal 2 2 2 2 2 3 4" xfId="48898" xr:uid="{00000000-0005-0000-0000-0000A61F0000}"/>
    <cellStyle name="Normal 2 2 2 2 2 3_ELEC SAP FCST UPLOAD" xfId="7279" xr:uid="{00000000-0005-0000-0000-0000A71F0000}"/>
    <cellStyle name="Normal 2 2 2 2 2 4" xfId="7280" xr:uid="{00000000-0005-0000-0000-0000A81F0000}"/>
    <cellStyle name="Normal 2 2 2 2 2 4 2" xfId="48901" xr:uid="{00000000-0005-0000-0000-0000A91F0000}"/>
    <cellStyle name="Normal 2 2 2 2 2 5" xfId="7281" xr:uid="{00000000-0005-0000-0000-0000AA1F0000}"/>
    <cellStyle name="Normal 2 2 2 2 2 5 2" xfId="48902" xr:uid="{00000000-0005-0000-0000-0000AB1F0000}"/>
    <cellStyle name="Normal 2 2 2 2 2 6" xfId="7282" xr:uid="{00000000-0005-0000-0000-0000AC1F0000}"/>
    <cellStyle name="Normal 2 2 2 2 2 6 2" xfId="48903" xr:uid="{00000000-0005-0000-0000-0000AD1F0000}"/>
    <cellStyle name="Normal 2 2 2 2 2 7" xfId="7283" xr:uid="{00000000-0005-0000-0000-0000AE1F0000}"/>
    <cellStyle name="Normal 2 2 2 2 2 7 2" xfId="48904" xr:uid="{00000000-0005-0000-0000-0000AF1F0000}"/>
    <cellStyle name="Normal 2 2 2 2 2 8" xfId="7284" xr:uid="{00000000-0005-0000-0000-0000B01F0000}"/>
    <cellStyle name="Normal 2 2 2 2 2 8 2" xfId="48905" xr:uid="{00000000-0005-0000-0000-0000B11F0000}"/>
    <cellStyle name="Normal 2 2 2 2 2 9" xfId="7285" xr:uid="{00000000-0005-0000-0000-0000B21F0000}"/>
    <cellStyle name="Normal 2 2 2 2 2 9 2" xfId="48907" xr:uid="{00000000-0005-0000-0000-0000B31F0000}"/>
    <cellStyle name="Normal 2 2 2 2 2 9 2 2" xfId="48908" xr:uid="{00000000-0005-0000-0000-0000B41F0000}"/>
    <cellStyle name="Normal 2 2 2 2 2 9 2 3" xfId="48909" xr:uid="{00000000-0005-0000-0000-0000B51F0000}"/>
    <cellStyle name="Normal 2 2 2 2 2 9 2 4" xfId="48910" xr:uid="{00000000-0005-0000-0000-0000B61F0000}"/>
    <cellStyle name="Normal 2 2 2 2 2 9 2 5" xfId="48911" xr:uid="{00000000-0005-0000-0000-0000B71F0000}"/>
    <cellStyle name="Normal 2 2 2 2 2 9 2 6" xfId="48912" xr:uid="{00000000-0005-0000-0000-0000B81F0000}"/>
    <cellStyle name="Normal 2 2 2 2 2 9 2 7" xfId="48913" xr:uid="{00000000-0005-0000-0000-0000B91F0000}"/>
    <cellStyle name="Normal 2 2 2 2 2 9 3" xfId="48914" xr:uid="{00000000-0005-0000-0000-0000BA1F0000}"/>
    <cellStyle name="Normal 2 2 2 2 2 9 4" xfId="48915" xr:uid="{00000000-0005-0000-0000-0000BB1F0000}"/>
    <cellStyle name="Normal 2 2 2 2 2 9 5" xfId="48916" xr:uid="{00000000-0005-0000-0000-0000BC1F0000}"/>
    <cellStyle name="Normal 2 2 2 2 2 9 6" xfId="48917" xr:uid="{00000000-0005-0000-0000-0000BD1F0000}"/>
    <cellStyle name="Normal 2 2 2 2 2 9 7" xfId="48918" xr:uid="{00000000-0005-0000-0000-0000BE1F0000}"/>
    <cellStyle name="Normal 2 2 2 2 2 9 8" xfId="48919" xr:uid="{00000000-0005-0000-0000-0000BF1F0000}"/>
    <cellStyle name="Normal 2 2 2 2 2 9 9" xfId="48906" xr:uid="{00000000-0005-0000-0000-0000C01F0000}"/>
    <cellStyle name="Normal 2 2 2 2 2_ELEC SAP FCST UPLOAD" xfId="7286" xr:uid="{00000000-0005-0000-0000-0000C11F0000}"/>
    <cellStyle name="Normal 2 2 2 2 20" xfId="7287" xr:uid="{00000000-0005-0000-0000-0000C21F0000}"/>
    <cellStyle name="Normal 2 2 2 2 20 2" xfId="48920" xr:uid="{00000000-0005-0000-0000-0000C31F0000}"/>
    <cellStyle name="Normal 2 2 2 2 21" xfId="7288" xr:uid="{00000000-0005-0000-0000-0000C41F0000}"/>
    <cellStyle name="Normal 2 2 2 2 21 2" xfId="48921" xr:uid="{00000000-0005-0000-0000-0000C51F0000}"/>
    <cellStyle name="Normal 2 2 2 2 22" xfId="7289" xr:uid="{00000000-0005-0000-0000-0000C61F0000}"/>
    <cellStyle name="Normal 2 2 2 2 22 2" xfId="48922" xr:uid="{00000000-0005-0000-0000-0000C71F0000}"/>
    <cellStyle name="Normal 2 2 2 2 23" xfId="7290" xr:uid="{00000000-0005-0000-0000-0000C81F0000}"/>
    <cellStyle name="Normal 2 2 2 2 23 2" xfId="48923" xr:uid="{00000000-0005-0000-0000-0000C91F0000}"/>
    <cellStyle name="Normal 2 2 2 2 24" xfId="7291" xr:uid="{00000000-0005-0000-0000-0000CA1F0000}"/>
    <cellStyle name="Normal 2 2 2 2 24 2" xfId="48924"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27" xr:uid="{00000000-0005-0000-0000-0000D41F0000}"/>
    <cellStyle name="Normal 2 2 2 2 3 2 3" xfId="7300" xr:uid="{00000000-0005-0000-0000-0000D51F0000}"/>
    <cellStyle name="Normal 2 2 2 2 3 2 3 2" xfId="48928" xr:uid="{00000000-0005-0000-0000-0000D61F0000}"/>
    <cellStyle name="Normal 2 2 2 2 3 2 4" xfId="48926" xr:uid="{00000000-0005-0000-0000-0000D71F0000}"/>
    <cellStyle name="Normal 2 2 2 2 3 2_ELEC SAP FCST UPLOAD" xfId="7301" xr:uid="{00000000-0005-0000-0000-0000D81F0000}"/>
    <cellStyle name="Normal 2 2 2 2 3 3" xfId="7302" xr:uid="{00000000-0005-0000-0000-0000D91F0000}"/>
    <cellStyle name="Normal 2 2 2 2 3 3 2" xfId="48929" xr:uid="{00000000-0005-0000-0000-0000DA1F0000}"/>
    <cellStyle name="Normal 2 2 2 2 3 4" xfId="7303" xr:uid="{00000000-0005-0000-0000-0000DB1F0000}"/>
    <cellStyle name="Normal 2 2 2 2 3 4 2" xfId="48930" xr:uid="{00000000-0005-0000-0000-0000DC1F0000}"/>
    <cellStyle name="Normal 2 2 2 2 3 5" xfId="7304" xr:uid="{00000000-0005-0000-0000-0000DD1F0000}"/>
    <cellStyle name="Normal 2 2 2 2 3 5 2" xfId="48931" xr:uid="{00000000-0005-0000-0000-0000DE1F0000}"/>
    <cellStyle name="Normal 2 2 2 2 3 6" xfId="7305" xr:uid="{00000000-0005-0000-0000-0000DF1F0000}"/>
    <cellStyle name="Normal 2 2 2 2 3 6 2" xfId="48932" xr:uid="{00000000-0005-0000-0000-0000E01F0000}"/>
    <cellStyle name="Normal 2 2 2 2 3 7" xfId="48925"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4" xr:uid="{00000000-0005-0000-0000-0000EF1F0000}"/>
    <cellStyle name="Normal 2 2 2 2 4 3" xfId="7319" xr:uid="{00000000-0005-0000-0000-0000F01F0000}"/>
    <cellStyle name="Normal 2 2 2 2 4 3 2" xfId="48935" xr:uid="{00000000-0005-0000-0000-0000F11F0000}"/>
    <cellStyle name="Normal 2 2 2 2 4 4" xfId="48933"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6"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37"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38"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39"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2" xr:uid="{00000000-0005-0000-0000-000039200000}"/>
    <cellStyle name="Normal 2 2 2 2 9" xfId="7386" xr:uid="{00000000-0005-0000-0000-00003A200000}"/>
    <cellStyle name="Normal 2 2 2 2 9 2" xfId="48941" xr:uid="{00000000-0005-0000-0000-00003B200000}"/>
    <cellStyle name="Normal 2 2 2 2 9 2 2" xfId="48942" xr:uid="{00000000-0005-0000-0000-00003C200000}"/>
    <cellStyle name="Normal 2 2 2 2 9 2 3" xfId="48943" xr:uid="{00000000-0005-0000-0000-00003D200000}"/>
    <cellStyle name="Normal 2 2 2 2 9 2 4" xfId="48944" xr:uid="{00000000-0005-0000-0000-00003E200000}"/>
    <cellStyle name="Normal 2 2 2 2 9 2 5" xfId="48945" xr:uid="{00000000-0005-0000-0000-00003F200000}"/>
    <cellStyle name="Normal 2 2 2 2 9 2 6" xfId="48946" xr:uid="{00000000-0005-0000-0000-000040200000}"/>
    <cellStyle name="Normal 2 2 2 2 9 2 7" xfId="48947" xr:uid="{00000000-0005-0000-0000-000041200000}"/>
    <cellStyle name="Normal 2 2 2 2 9 3" xfId="48948" xr:uid="{00000000-0005-0000-0000-000042200000}"/>
    <cellStyle name="Normal 2 2 2 2 9 4" xfId="48949" xr:uid="{00000000-0005-0000-0000-000043200000}"/>
    <cellStyle name="Normal 2 2 2 2 9 5" xfId="48950" xr:uid="{00000000-0005-0000-0000-000044200000}"/>
    <cellStyle name="Normal 2 2 2 2 9 6" xfId="48951" xr:uid="{00000000-0005-0000-0000-000045200000}"/>
    <cellStyle name="Normal 2 2 2 2 9 7" xfId="48952" xr:uid="{00000000-0005-0000-0000-000046200000}"/>
    <cellStyle name="Normal 2 2 2 2 9 8" xfId="48953" xr:uid="{00000000-0005-0000-0000-000047200000}"/>
    <cellStyle name="Normal 2 2 2 2 9 9" xfId="48940" xr:uid="{00000000-0005-0000-0000-000048200000}"/>
    <cellStyle name="Normal 2 2 2 2_ELEC SAP FCST UPLOAD" xfId="7387" xr:uid="{00000000-0005-0000-0000-000049200000}"/>
    <cellStyle name="Normal 2 2 2 20" xfId="7388" xr:uid="{00000000-0005-0000-0000-00004A200000}"/>
    <cellStyle name="Normal 2 2 2 20 2" xfId="48954" xr:uid="{00000000-0005-0000-0000-00004B200000}"/>
    <cellStyle name="Normal 2 2 2 21" xfId="7389" xr:uid="{00000000-0005-0000-0000-00004C200000}"/>
    <cellStyle name="Normal 2 2 2 21 2" xfId="48955" xr:uid="{00000000-0005-0000-0000-00004D200000}"/>
    <cellStyle name="Normal 2 2 2 22" xfId="7390" xr:uid="{00000000-0005-0000-0000-00004E200000}"/>
    <cellStyle name="Normal 2 2 2 22 2" xfId="48956" xr:uid="{00000000-0005-0000-0000-00004F200000}"/>
    <cellStyle name="Normal 2 2 2 23" xfId="7391" xr:uid="{00000000-0005-0000-0000-000050200000}"/>
    <cellStyle name="Normal 2 2 2 23 2" xfId="48957" xr:uid="{00000000-0005-0000-0000-000051200000}"/>
    <cellStyle name="Normal 2 2 2 24" xfId="7392" xr:uid="{00000000-0005-0000-0000-000052200000}"/>
    <cellStyle name="Normal 2 2 2 24 2" xfId="48958" xr:uid="{00000000-0005-0000-0000-000053200000}"/>
    <cellStyle name="Normal 2 2 2 25" xfId="7393" xr:uid="{00000000-0005-0000-0000-000054200000}"/>
    <cellStyle name="Normal 2 2 2 25 2" xfId="48959" xr:uid="{00000000-0005-0000-0000-000055200000}"/>
    <cellStyle name="Normal 2 2 2 26" xfId="7394" xr:uid="{00000000-0005-0000-0000-000056200000}"/>
    <cellStyle name="Normal 2 2 2 26 2" xfId="48960"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1"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5" xr:uid="{00000000-0005-0000-0000-00006B200000}"/>
    <cellStyle name="Normal 2 2 2 4 2 2 3" xfId="7413" xr:uid="{00000000-0005-0000-0000-00006C200000}"/>
    <cellStyle name="Normal 2 2 2 4 2 2 3 2" xfId="48966" xr:uid="{00000000-0005-0000-0000-00006D200000}"/>
    <cellStyle name="Normal 2 2 2 4 2 2 4" xfId="48964" xr:uid="{00000000-0005-0000-0000-00006E200000}"/>
    <cellStyle name="Normal 2 2 2 4 2 2_ELEC SAP FCST UPLOAD" xfId="7414" xr:uid="{00000000-0005-0000-0000-00006F200000}"/>
    <cellStyle name="Normal 2 2 2 4 2 3" xfId="7415" xr:uid="{00000000-0005-0000-0000-000070200000}"/>
    <cellStyle name="Normal 2 2 2 4 2 3 2" xfId="48967" xr:uid="{00000000-0005-0000-0000-000071200000}"/>
    <cellStyle name="Normal 2 2 2 4 2 4" xfId="7416" xr:uid="{00000000-0005-0000-0000-000072200000}"/>
    <cellStyle name="Normal 2 2 2 4 2 4 2" xfId="48968" xr:uid="{00000000-0005-0000-0000-000073200000}"/>
    <cellStyle name="Normal 2 2 2 4 2 5" xfId="7417" xr:uid="{00000000-0005-0000-0000-000074200000}"/>
    <cellStyle name="Normal 2 2 2 4 2 5 2" xfId="48969" xr:uid="{00000000-0005-0000-0000-000075200000}"/>
    <cellStyle name="Normal 2 2 2 4 2 6" xfId="7418" xr:uid="{00000000-0005-0000-0000-000076200000}"/>
    <cellStyle name="Normal 2 2 2 4 2 6 2" xfId="48970" xr:uid="{00000000-0005-0000-0000-000077200000}"/>
    <cellStyle name="Normal 2 2 2 4 2 7" xfId="48963"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2" xr:uid="{00000000-0005-0000-0000-00007C200000}"/>
    <cellStyle name="Normal 2 2 2 4 3 3" xfId="7422" xr:uid="{00000000-0005-0000-0000-00007D200000}"/>
    <cellStyle name="Normal 2 2 2 4 3 3 2" xfId="48973" xr:uid="{00000000-0005-0000-0000-00007E200000}"/>
    <cellStyle name="Normal 2 2 2 4 3 4" xfId="48971" xr:uid="{00000000-0005-0000-0000-00007F200000}"/>
    <cellStyle name="Normal 2 2 2 4 3_ELEC SAP FCST UPLOAD" xfId="7423" xr:uid="{00000000-0005-0000-0000-000080200000}"/>
    <cellStyle name="Normal 2 2 2 4 4" xfId="7424" xr:uid="{00000000-0005-0000-0000-000081200000}"/>
    <cellStyle name="Normal 2 2 2 4 4 2" xfId="48974" xr:uid="{00000000-0005-0000-0000-000082200000}"/>
    <cellStyle name="Normal 2 2 2 4 5" xfId="7425" xr:uid="{00000000-0005-0000-0000-000083200000}"/>
    <cellStyle name="Normal 2 2 2 4 5 2" xfId="48975" xr:uid="{00000000-0005-0000-0000-000084200000}"/>
    <cellStyle name="Normal 2 2 2 4 6" xfId="7426" xr:uid="{00000000-0005-0000-0000-000085200000}"/>
    <cellStyle name="Normal 2 2 2 4 6 2" xfId="48976" xr:uid="{00000000-0005-0000-0000-000086200000}"/>
    <cellStyle name="Normal 2 2 2 4 7" xfId="48962"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78" xr:uid="{00000000-0005-0000-0000-000095200000}"/>
    <cellStyle name="Normal 2 2 2 5 3" xfId="7440" xr:uid="{00000000-0005-0000-0000-000096200000}"/>
    <cellStyle name="Normal 2 2 2 5 3 2" xfId="48979" xr:uid="{00000000-0005-0000-0000-000097200000}"/>
    <cellStyle name="Normal 2 2 2 5 4" xfId="48977"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0"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1"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2"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2" xr:uid="{00000000-0005-0000-0000-0000C5200000}"/>
    <cellStyle name="Normal 2 2 2 9" xfId="7482" xr:uid="{00000000-0005-0000-0000-0000C6200000}"/>
    <cellStyle name="Normal 2 2 2 9 2" xfId="48983" xr:uid="{00000000-0005-0000-0000-0000C7200000}"/>
    <cellStyle name="Normal 2 2 2_3.1.2 DB Pension Detail" xfId="7483" xr:uid="{00000000-0005-0000-0000-0000C8200000}"/>
    <cellStyle name="Normal 2 2 20" xfId="7484" xr:uid="{00000000-0005-0000-0000-0000C9200000}"/>
    <cellStyle name="Normal 2 2 20 2" xfId="48984" xr:uid="{00000000-0005-0000-0000-0000CA200000}"/>
    <cellStyle name="Normal 2 2 21" xfId="7485" xr:uid="{00000000-0005-0000-0000-0000CB200000}"/>
    <cellStyle name="Normal 2 2 21 2" xfId="48985" xr:uid="{00000000-0005-0000-0000-0000CC200000}"/>
    <cellStyle name="Normal 2 2 22" xfId="7486" xr:uid="{00000000-0005-0000-0000-0000CD200000}"/>
    <cellStyle name="Normal 2 2 22 2" xfId="48986" xr:uid="{00000000-0005-0000-0000-0000CE200000}"/>
    <cellStyle name="Normal 2 2 23" xfId="7487" xr:uid="{00000000-0005-0000-0000-0000CF200000}"/>
    <cellStyle name="Normal 2 2 23 2" xfId="48987" xr:uid="{00000000-0005-0000-0000-0000D0200000}"/>
    <cellStyle name="Normal 2 2 24" xfId="7488" xr:uid="{00000000-0005-0000-0000-0000D1200000}"/>
    <cellStyle name="Normal 2 2 24 2" xfId="48988" xr:uid="{00000000-0005-0000-0000-0000D2200000}"/>
    <cellStyle name="Normal 2 2 25" xfId="7489" xr:uid="{00000000-0005-0000-0000-0000D3200000}"/>
    <cellStyle name="Normal 2 2 25 2" xfId="48989" xr:uid="{00000000-0005-0000-0000-0000D4200000}"/>
    <cellStyle name="Normal 2 2 26" xfId="7490" xr:uid="{00000000-0005-0000-0000-0000D5200000}"/>
    <cellStyle name="Normal 2 2 26 2" xfId="48990"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6"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5" xr:uid="{00000000-0005-0000-0000-000024210000}"/>
    <cellStyle name="Normal 2 2 3 2 2 2 2 3" xfId="7567" xr:uid="{00000000-0005-0000-0000-000025210000}"/>
    <cellStyle name="Normal 2 2 3 2 2 2 2 3 2" xfId="48997"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4" xr:uid="{00000000-0005-0000-0000-000031210000}"/>
    <cellStyle name="Normal 2 2 3 2 2 2 3" xfId="7578" xr:uid="{00000000-0005-0000-0000-000032210000}"/>
    <cellStyle name="Normal 2 2 3 2 2 2 3 2" xfId="48998" xr:uid="{00000000-0005-0000-0000-000033210000}"/>
    <cellStyle name="Normal 2 2 3 2 2 2 4" xfId="7579" xr:uid="{00000000-0005-0000-0000-000034210000}"/>
    <cellStyle name="Normal 2 2 3 2 2 2 4 2" xfId="48999" xr:uid="{00000000-0005-0000-0000-000035210000}"/>
    <cellStyle name="Normal 2 2 3 2 2 2 5" xfId="7580" xr:uid="{00000000-0005-0000-0000-000036210000}"/>
    <cellStyle name="Normal 2 2 3 2 2 2 5 2" xfId="49000" xr:uid="{00000000-0005-0000-0000-000037210000}"/>
    <cellStyle name="Normal 2 2 3 2 2 2 6" xfId="7581" xr:uid="{00000000-0005-0000-0000-000038210000}"/>
    <cellStyle name="Normal 2 2 3 2 2 2 6 2" xfId="49001"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3" xr:uid="{00000000-0005-0000-0000-000041210000}"/>
    <cellStyle name="Normal 2 2 3 2 2 3" xfId="7589" xr:uid="{00000000-0005-0000-0000-000042210000}"/>
    <cellStyle name="Normal 2 2 3 2 2 3 2" xfId="7590" xr:uid="{00000000-0005-0000-0000-000043210000}"/>
    <cellStyle name="Normal 2 2 3 2 2 3 2 2" xfId="49003" xr:uid="{00000000-0005-0000-0000-000044210000}"/>
    <cellStyle name="Normal 2 2 3 2 2 3 3" xfId="7591" xr:uid="{00000000-0005-0000-0000-000045210000}"/>
    <cellStyle name="Normal 2 2 3 2 2 3 3 2" xfId="49004" xr:uid="{00000000-0005-0000-0000-000046210000}"/>
    <cellStyle name="Normal 2 2 3 2 2 3 4" xfId="49002" xr:uid="{00000000-0005-0000-0000-000047210000}"/>
    <cellStyle name="Normal 2 2 3 2 2 3_ELEC SAP FCST UPLOAD" xfId="7592" xr:uid="{00000000-0005-0000-0000-000048210000}"/>
    <cellStyle name="Normal 2 2 3 2 2 4" xfId="7593" xr:uid="{00000000-0005-0000-0000-000049210000}"/>
    <cellStyle name="Normal 2 2 3 2 2 4 2" xfId="49005" xr:uid="{00000000-0005-0000-0000-00004A210000}"/>
    <cellStyle name="Normal 2 2 3 2 2 5" xfId="7594" xr:uid="{00000000-0005-0000-0000-00004B210000}"/>
    <cellStyle name="Normal 2 2 3 2 2 5 2" xfId="49006" xr:uid="{00000000-0005-0000-0000-00004C210000}"/>
    <cellStyle name="Normal 2 2 3 2 2 6" xfId="7595" xr:uid="{00000000-0005-0000-0000-00004D210000}"/>
    <cellStyle name="Normal 2 2 3 2 2 6 2" xfId="49007"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2" xr:uid="{00000000-0005-0000-0000-000057210000}"/>
    <cellStyle name="Normal 2 2 3 2 3" xfId="7604" xr:uid="{00000000-0005-0000-0000-000058210000}"/>
    <cellStyle name="Normal 2 2 3 2 3 2" xfId="7605" xr:uid="{00000000-0005-0000-0000-000059210000}"/>
    <cellStyle name="Normal 2 2 3 2 3 2 2" xfId="49009" xr:uid="{00000000-0005-0000-0000-00005A210000}"/>
    <cellStyle name="Normal 2 2 3 2 3 3" xfId="7606" xr:uid="{00000000-0005-0000-0000-00005B210000}"/>
    <cellStyle name="Normal 2 2 3 2 3 3 2" xfId="49010" xr:uid="{00000000-0005-0000-0000-00005C210000}"/>
    <cellStyle name="Normal 2 2 3 2 3 4" xfId="49008" xr:uid="{00000000-0005-0000-0000-00005D210000}"/>
    <cellStyle name="Normal 2 2 3 2 3_ELEC SAP FCST UPLOAD" xfId="7607" xr:uid="{00000000-0005-0000-0000-00005E210000}"/>
    <cellStyle name="Normal 2 2 3 2 4" xfId="7608" xr:uid="{00000000-0005-0000-0000-00005F210000}"/>
    <cellStyle name="Normal 2 2 3 2 4 2" xfId="49011" xr:uid="{00000000-0005-0000-0000-000060210000}"/>
    <cellStyle name="Normal 2 2 3 2 5" xfId="7609" xr:uid="{00000000-0005-0000-0000-000061210000}"/>
    <cellStyle name="Normal 2 2 3 2 5 2" xfId="49012" xr:uid="{00000000-0005-0000-0000-000062210000}"/>
    <cellStyle name="Normal 2 2 3 2 6" xfId="7610" xr:uid="{00000000-0005-0000-0000-000063210000}"/>
    <cellStyle name="Normal 2 2 3 2 6 2" xfId="49013" xr:uid="{00000000-0005-0000-0000-000064210000}"/>
    <cellStyle name="Normal 2 2 3 2 7" xfId="7611" xr:uid="{00000000-0005-0000-0000-000065210000}"/>
    <cellStyle name="Normal 2 2 3 2 7 2" xfId="49014"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17" xr:uid="{00000000-0005-0000-0000-000077210000}"/>
    <cellStyle name="Normal 2 2 3 3 2 3" xfId="7628" xr:uid="{00000000-0005-0000-0000-000078210000}"/>
    <cellStyle name="Normal 2 2 3 3 2 3 2" xfId="49018" xr:uid="{00000000-0005-0000-0000-000079210000}"/>
    <cellStyle name="Normal 2 2 3 3 2 4" xfId="49016" xr:uid="{00000000-0005-0000-0000-00007A210000}"/>
    <cellStyle name="Normal 2 2 3 3 2_ELEC SAP FCST UPLOAD" xfId="7629" xr:uid="{00000000-0005-0000-0000-00007B210000}"/>
    <cellStyle name="Normal 2 2 3 3 3" xfId="7630" xr:uid="{00000000-0005-0000-0000-00007C210000}"/>
    <cellStyle name="Normal 2 2 3 3 3 2" xfId="49019" xr:uid="{00000000-0005-0000-0000-00007D210000}"/>
    <cellStyle name="Normal 2 2 3 3 4" xfId="7631" xr:uid="{00000000-0005-0000-0000-00007E210000}"/>
    <cellStyle name="Normal 2 2 3 3 4 2" xfId="49020" xr:uid="{00000000-0005-0000-0000-00007F210000}"/>
    <cellStyle name="Normal 2 2 3 3 5" xfId="7632" xr:uid="{00000000-0005-0000-0000-000080210000}"/>
    <cellStyle name="Normal 2 2 3 3 5 2" xfId="49021" xr:uid="{00000000-0005-0000-0000-000081210000}"/>
    <cellStyle name="Normal 2 2 3 3 6" xfId="7633" xr:uid="{00000000-0005-0000-0000-000082210000}"/>
    <cellStyle name="Normal 2 2 3 3 6 2" xfId="49022" xr:uid="{00000000-0005-0000-0000-000083210000}"/>
    <cellStyle name="Normal 2 2 3 3 7" xfId="49015"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4" xr:uid="{00000000-0005-0000-0000-000092210000}"/>
    <cellStyle name="Normal 2 2 3 4 3" xfId="7647" xr:uid="{00000000-0005-0000-0000-000093210000}"/>
    <cellStyle name="Normal 2 2 3 4 3 2" xfId="49025" xr:uid="{00000000-0005-0000-0000-000094210000}"/>
    <cellStyle name="Normal 2 2 3 4 4" xfId="49023"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6"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27"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28"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1"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2"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1" xr:uid="{00000000-0005-0000-0000-00001C220000}"/>
    <cellStyle name="Normal 2 2 4 2 2 3" xfId="7777" xr:uid="{00000000-0005-0000-0000-00001D220000}"/>
    <cellStyle name="Normal 2 2 4 2 2 3 2" xfId="49033"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0" xr:uid="{00000000-0005-0000-0000-000029220000}"/>
    <cellStyle name="Normal 2 2 4 2 3" xfId="7788" xr:uid="{00000000-0005-0000-0000-00002A220000}"/>
    <cellStyle name="Normal 2 2 4 2 3 2" xfId="49034" xr:uid="{00000000-0005-0000-0000-00002B220000}"/>
    <cellStyle name="Normal 2 2 4 2 4" xfId="7789" xr:uid="{00000000-0005-0000-0000-00002C220000}"/>
    <cellStyle name="Normal 2 2 4 2 4 2" xfId="49035" xr:uid="{00000000-0005-0000-0000-00002D220000}"/>
    <cellStyle name="Normal 2 2 4 2 5" xfId="7790" xr:uid="{00000000-0005-0000-0000-00002E220000}"/>
    <cellStyle name="Normal 2 2 4 2 5 2" xfId="49036" xr:uid="{00000000-0005-0000-0000-00002F220000}"/>
    <cellStyle name="Normal 2 2 4 2 6" xfId="7791" xr:uid="{00000000-0005-0000-0000-000030220000}"/>
    <cellStyle name="Normal 2 2 4 2 6 2" xfId="49037"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39" xr:uid="{00000000-0005-0000-0000-000042220000}"/>
    <cellStyle name="Normal 2 2 4 3 3" xfId="7808" xr:uid="{00000000-0005-0000-0000-000043220000}"/>
    <cellStyle name="Normal 2 2 4 3 3 2" xfId="49040" xr:uid="{00000000-0005-0000-0000-000044220000}"/>
    <cellStyle name="Normal 2 2 4 3 4" xfId="49038"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1"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2"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3"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29"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5"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6"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4"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47"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48"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49"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0"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1" xr:uid="{00000000-0005-0000-0000-000027250000}"/>
    <cellStyle name="Normal 2 21" xfId="8535" xr:uid="{00000000-0005-0000-0000-000028250000}"/>
    <cellStyle name="Normal 2 21 2" xfId="49052" xr:uid="{00000000-0005-0000-0000-000029250000}"/>
    <cellStyle name="Normal 2 22" xfId="8536" xr:uid="{00000000-0005-0000-0000-00002A250000}"/>
    <cellStyle name="Normal 2 22 2" xfId="49053" xr:uid="{00000000-0005-0000-0000-00002B250000}"/>
    <cellStyle name="Normal 2 23" xfId="8537" xr:uid="{00000000-0005-0000-0000-00002C250000}"/>
    <cellStyle name="Normal 2 23 2" xfId="49054" xr:uid="{00000000-0005-0000-0000-00002D250000}"/>
    <cellStyle name="Normal 2 24" xfId="8538" xr:uid="{00000000-0005-0000-0000-00002E250000}"/>
    <cellStyle name="Normal 2 24 2" xfId="49055" xr:uid="{00000000-0005-0000-0000-00002F250000}"/>
    <cellStyle name="Normal 2 25" xfId="8539" xr:uid="{00000000-0005-0000-0000-000030250000}"/>
    <cellStyle name="Normal 2 25 2" xfId="49056" xr:uid="{00000000-0005-0000-0000-000031250000}"/>
    <cellStyle name="Normal 2 26" xfId="8540" xr:uid="{00000000-0005-0000-0000-000032250000}"/>
    <cellStyle name="Normal 2 26 2" xfId="49057" xr:uid="{00000000-0005-0000-0000-000033250000}"/>
    <cellStyle name="Normal 2 27" xfId="8541" xr:uid="{00000000-0005-0000-0000-000034250000}"/>
    <cellStyle name="Normal 2 27 2" xfId="49058"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4"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3" xr:uid="{00000000-0005-0000-0000-000082250000}"/>
    <cellStyle name="Normal 2 3 2 2 2 2 3" xfId="8617" xr:uid="{00000000-0005-0000-0000-000083250000}"/>
    <cellStyle name="Normal 2 3 2 2 2 2 3 2" xfId="49065"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2" xr:uid="{00000000-0005-0000-0000-00008F250000}"/>
    <cellStyle name="Normal 2 3 2 2 2 3" xfId="8628" xr:uid="{00000000-0005-0000-0000-000090250000}"/>
    <cellStyle name="Normal 2 3 2 2 2 3 2" xfId="49066" xr:uid="{00000000-0005-0000-0000-000091250000}"/>
    <cellStyle name="Normal 2 3 2 2 2 4" xfId="8629" xr:uid="{00000000-0005-0000-0000-000092250000}"/>
    <cellStyle name="Normal 2 3 2 2 2 4 2" xfId="49067" xr:uid="{00000000-0005-0000-0000-000093250000}"/>
    <cellStyle name="Normal 2 3 2 2 2 5" xfId="8630" xr:uid="{00000000-0005-0000-0000-000094250000}"/>
    <cellStyle name="Normal 2 3 2 2 2 5 2" xfId="49068" xr:uid="{00000000-0005-0000-0000-000095250000}"/>
    <cellStyle name="Normal 2 3 2 2 2 6" xfId="8631" xr:uid="{00000000-0005-0000-0000-000096250000}"/>
    <cellStyle name="Normal 2 3 2 2 2 6 2" xfId="49069"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1" xr:uid="{00000000-0005-0000-0000-0000A8250000}"/>
    <cellStyle name="Normal 2 3 2 2 3 3" xfId="8648" xr:uid="{00000000-0005-0000-0000-0000A9250000}"/>
    <cellStyle name="Normal 2 3 2 2 3 3 2" xfId="49072" xr:uid="{00000000-0005-0000-0000-0000AA250000}"/>
    <cellStyle name="Normal 2 3 2 2 3 4" xfId="49070"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3"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4"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5"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1"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77"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6" xr:uid="{00000000-0005-0000-0000-000026260000}"/>
    <cellStyle name="Normal 2 3 2 3 3" xfId="8766" xr:uid="{00000000-0005-0000-0000-000027260000}"/>
    <cellStyle name="Normal 2 3 2 3 3 2" xfId="49078"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79"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0"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1"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2"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0"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5"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4" xr:uid="{00000000-0005-0000-0000-0000B6260000}"/>
    <cellStyle name="Normal 2 3 3 2 3" xfId="8902" xr:uid="{00000000-0005-0000-0000-0000B7260000}"/>
    <cellStyle name="Normal 2 3 3 2 3 2" xfId="49086"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87"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88"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89"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0"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3"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2"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3"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1"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4"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5"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6"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59"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097"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1"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2"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0"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3"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4"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5"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6"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099"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08"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09"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07"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0"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1"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2"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098"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3"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4"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5"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6"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17"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18"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19"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2"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4"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0"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3"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27"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0"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397"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2"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3"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2" xr:uid="{00000000-0005-0000-0000-0000D4330000}"/>
    <cellStyle name="Normal 3 10 3" xfId="12212" xr:uid="{00000000-0005-0000-0000-0000D5330000}"/>
    <cellStyle name="Normal 3 10 3 2" xfId="49124" xr:uid="{00000000-0005-0000-0000-0000D6330000}"/>
    <cellStyle name="Normal 3 10 4" xfId="12213" xr:uid="{00000000-0005-0000-0000-0000D7330000}"/>
    <cellStyle name="Normal 3 10 4 2" xfId="49125" xr:uid="{00000000-0005-0000-0000-0000D8330000}"/>
    <cellStyle name="Normal 3 10 5" xfId="12214" xr:uid="{00000000-0005-0000-0000-0000D9330000}"/>
    <cellStyle name="Normal 3 10 5 2" xfId="49126" xr:uid="{00000000-0005-0000-0000-0000DA330000}"/>
    <cellStyle name="Normal 3 10 6" xfId="12215" xr:uid="{00000000-0005-0000-0000-0000DB330000}"/>
    <cellStyle name="Normal 3 10 6 2" xfId="49127" xr:uid="{00000000-0005-0000-0000-0000DC330000}"/>
    <cellStyle name="Normal 3 10 7" xfId="12216" xr:uid="{00000000-0005-0000-0000-0000DD330000}"/>
    <cellStyle name="Normal 3 10 7 2" xfId="49128"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29"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0"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1" xr:uid="{00000000-0005-0000-0000-000006340000}"/>
    <cellStyle name="Normal 3 14" xfId="12253" xr:uid="{00000000-0005-0000-0000-000007340000}"/>
    <cellStyle name="Normal 3 14 2" xfId="49132" xr:uid="{00000000-0005-0000-0000-000008340000}"/>
    <cellStyle name="Normal 3 15" xfId="12254" xr:uid="{00000000-0005-0000-0000-000009340000}"/>
    <cellStyle name="Normal 3 15 2" xfId="49133" xr:uid="{00000000-0005-0000-0000-00000A340000}"/>
    <cellStyle name="Normal 3 16" xfId="12255" xr:uid="{00000000-0005-0000-0000-00000B340000}"/>
    <cellStyle name="Normal 3 16 2" xfId="49134" xr:uid="{00000000-0005-0000-0000-00000C340000}"/>
    <cellStyle name="Normal 3 17" xfId="12256" xr:uid="{00000000-0005-0000-0000-00000D340000}"/>
    <cellStyle name="Normal 3 17 2" xfId="49135" xr:uid="{00000000-0005-0000-0000-00000E340000}"/>
    <cellStyle name="Normal 3 18" xfId="12257" xr:uid="{00000000-0005-0000-0000-00000F340000}"/>
    <cellStyle name="Normal 3 18 2" xfId="49136" xr:uid="{00000000-0005-0000-0000-000010340000}"/>
    <cellStyle name="Normal 3 19" xfId="12258" xr:uid="{00000000-0005-0000-0000-000011340000}"/>
    <cellStyle name="Normal 3 19 2" xfId="49137" xr:uid="{00000000-0005-0000-0000-000012340000}"/>
    <cellStyle name="Normal 3 2" xfId="89" xr:uid="{00000000-0005-0000-0000-000013340000}"/>
    <cellStyle name="Normal 3 2 10" xfId="12259" xr:uid="{00000000-0005-0000-0000-000014340000}"/>
    <cellStyle name="Normal 3 2 10 2" xfId="49139" xr:uid="{00000000-0005-0000-0000-000015340000}"/>
    <cellStyle name="Normal 3 2 11" xfId="12260" xr:uid="{00000000-0005-0000-0000-000016340000}"/>
    <cellStyle name="Normal 3 2 11 2" xfId="49140" xr:uid="{00000000-0005-0000-0000-000017340000}"/>
    <cellStyle name="Normal 3 2 12" xfId="12261" xr:uid="{00000000-0005-0000-0000-000018340000}"/>
    <cellStyle name="Normal 3 2 12 2" xfId="49141" xr:uid="{00000000-0005-0000-0000-000019340000}"/>
    <cellStyle name="Normal 3 2 13" xfId="12262" xr:uid="{00000000-0005-0000-0000-00001A340000}"/>
    <cellStyle name="Normal 3 2 13 2" xfId="49142" xr:uid="{00000000-0005-0000-0000-00001B340000}"/>
    <cellStyle name="Normal 3 2 14" xfId="12263" xr:uid="{00000000-0005-0000-0000-00001C340000}"/>
    <cellStyle name="Normal 3 2 14 2" xfId="49143" xr:uid="{00000000-0005-0000-0000-00001D340000}"/>
    <cellStyle name="Normal 3 2 15" xfId="12264" xr:uid="{00000000-0005-0000-0000-00001E340000}"/>
    <cellStyle name="Normal 3 2 15 2" xfId="49144" xr:uid="{00000000-0005-0000-0000-00001F340000}"/>
    <cellStyle name="Normal 3 2 16" xfId="12265" xr:uid="{00000000-0005-0000-0000-000020340000}"/>
    <cellStyle name="Normal 3 2 16 2" xfId="49145"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47" xr:uid="{00000000-0005-0000-0000-000031340000}"/>
    <cellStyle name="Normal 3 2 2 3" xfId="49148" xr:uid="{00000000-0005-0000-0000-000032340000}"/>
    <cellStyle name="Normal 3 2 2 4" xfId="49149" xr:uid="{00000000-0005-0000-0000-000033340000}"/>
    <cellStyle name="Normal 3 2 2 5" xfId="49150" xr:uid="{00000000-0005-0000-0000-000034340000}"/>
    <cellStyle name="Normal 3 2 2 6" xfId="49151" xr:uid="{00000000-0005-0000-0000-000035340000}"/>
    <cellStyle name="Normal 3 2 2 7" xfId="49152" xr:uid="{00000000-0005-0000-0000-000036340000}"/>
    <cellStyle name="Normal 3 2 2 8" xfId="49146"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3"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4"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5"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6"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57"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38" xr:uid="{00000000-0005-0000-0000-00009D340000}"/>
    <cellStyle name="Normal 3 2 8" xfId="12377" xr:uid="{00000000-0005-0000-0000-00009E340000}"/>
    <cellStyle name="Normal 3 2 8 2" xfId="49158" xr:uid="{00000000-0005-0000-0000-00009F340000}"/>
    <cellStyle name="Normal 3 2 9" xfId="12378" xr:uid="{00000000-0005-0000-0000-0000A0340000}"/>
    <cellStyle name="Normal 3 2 9 2" xfId="49159" xr:uid="{00000000-0005-0000-0000-0000A1340000}"/>
    <cellStyle name="Normal 3 2_3.1.2 DB Pension Detail" xfId="12379" xr:uid="{00000000-0005-0000-0000-0000A2340000}"/>
    <cellStyle name="Normal 3 20" xfId="12380" xr:uid="{00000000-0005-0000-0000-0000A3340000}"/>
    <cellStyle name="Normal 3 20 2" xfId="49160"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2"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1"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3"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4"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5"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6"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67"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68"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1"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4"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3" xr:uid="{00000000-0005-0000-0000-0000193E0000}"/>
    <cellStyle name="Normal 4 2 2 2 2 3" xfId="14789" xr:uid="{00000000-0005-0000-0000-00001A3E0000}"/>
    <cellStyle name="Normal 4 2 2 2 2 3 2" xfId="49175"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2" xr:uid="{00000000-0005-0000-0000-0000263E0000}"/>
    <cellStyle name="Normal 4 2 2 2 3" xfId="14800" xr:uid="{00000000-0005-0000-0000-0000273E0000}"/>
    <cellStyle name="Normal 4 2 2 2 3 2" xfId="49176" xr:uid="{00000000-0005-0000-0000-0000283E0000}"/>
    <cellStyle name="Normal 4 2 2 2 4" xfId="14801" xr:uid="{00000000-0005-0000-0000-0000293E0000}"/>
    <cellStyle name="Normal 4 2 2 2 4 2" xfId="49177" xr:uid="{00000000-0005-0000-0000-00002A3E0000}"/>
    <cellStyle name="Normal 4 2 2 2 5" xfId="14802" xr:uid="{00000000-0005-0000-0000-00002B3E0000}"/>
    <cellStyle name="Normal 4 2 2 2 5 2" xfId="49178" xr:uid="{00000000-0005-0000-0000-00002C3E0000}"/>
    <cellStyle name="Normal 4 2 2 2 6" xfId="14803" xr:uid="{00000000-0005-0000-0000-00002D3E0000}"/>
    <cellStyle name="Normal 4 2 2 2 6 2" xfId="49179"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1" xr:uid="{00000000-0005-0000-0000-0000363E0000}"/>
    <cellStyle name="Normal 4 2 2 3" xfId="14811" xr:uid="{00000000-0005-0000-0000-0000373E0000}"/>
    <cellStyle name="Normal 4 2 2 3 2" xfId="14812" xr:uid="{00000000-0005-0000-0000-0000383E0000}"/>
    <cellStyle name="Normal 4 2 2 3 2 2" xfId="49181" xr:uid="{00000000-0005-0000-0000-0000393E0000}"/>
    <cellStyle name="Normal 4 2 2 3 3" xfId="14813" xr:uid="{00000000-0005-0000-0000-00003A3E0000}"/>
    <cellStyle name="Normal 4 2 2 3 3 2" xfId="49182" xr:uid="{00000000-0005-0000-0000-00003B3E0000}"/>
    <cellStyle name="Normal 4 2 2 3 4" xfId="49180" xr:uid="{00000000-0005-0000-0000-00003C3E0000}"/>
    <cellStyle name="Normal 4 2 2 3_ELEC SAP FCST UPLOAD" xfId="14814" xr:uid="{00000000-0005-0000-0000-00003D3E0000}"/>
    <cellStyle name="Normal 4 2 2 4" xfId="14815" xr:uid="{00000000-0005-0000-0000-00003E3E0000}"/>
    <cellStyle name="Normal 4 2 2 4 2" xfId="49183" xr:uid="{00000000-0005-0000-0000-00003F3E0000}"/>
    <cellStyle name="Normal 4 2 2 5" xfId="14816" xr:uid="{00000000-0005-0000-0000-0000403E0000}"/>
    <cellStyle name="Normal 4 2 2 5 2" xfId="49184" xr:uid="{00000000-0005-0000-0000-0000413E0000}"/>
    <cellStyle name="Normal 4 2 2 6" xfId="14817" xr:uid="{00000000-0005-0000-0000-0000423E0000}"/>
    <cellStyle name="Normal 4 2 2 6 2" xfId="49185"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0" xr:uid="{00000000-0005-0000-0000-00004C3E0000}"/>
    <cellStyle name="Normal 4 2 3" xfId="99" xr:uid="{00000000-0005-0000-0000-00004D3E0000}"/>
    <cellStyle name="Normal 4 2 3 2" xfId="14826" xr:uid="{00000000-0005-0000-0000-00004E3E0000}"/>
    <cellStyle name="Normal 4 2 3 2 2" xfId="49187" xr:uid="{00000000-0005-0000-0000-00004F3E0000}"/>
    <cellStyle name="Normal 4 2 3 3" xfId="14827" xr:uid="{00000000-0005-0000-0000-0000503E0000}"/>
    <cellStyle name="Normal 4 2 3 3 2" xfId="49188" xr:uid="{00000000-0005-0000-0000-0000513E0000}"/>
    <cellStyle name="Normal 4 2 3 4" xfId="49186" xr:uid="{00000000-0005-0000-0000-0000523E0000}"/>
    <cellStyle name="Normal 4 2 3_ELEC SAP FCST UPLOAD" xfId="14828" xr:uid="{00000000-0005-0000-0000-0000533E0000}"/>
    <cellStyle name="Normal 4 2 4" xfId="14829" xr:uid="{00000000-0005-0000-0000-0000543E0000}"/>
    <cellStyle name="Normal 4 2 4 2" xfId="49189" xr:uid="{00000000-0005-0000-0000-0000553E0000}"/>
    <cellStyle name="Normal 4 2 5" xfId="14830" xr:uid="{00000000-0005-0000-0000-0000563E0000}"/>
    <cellStyle name="Normal 4 2 5 2" xfId="49190" xr:uid="{00000000-0005-0000-0000-0000573E0000}"/>
    <cellStyle name="Normal 4 2 6" xfId="14831" xr:uid="{00000000-0005-0000-0000-0000583E0000}"/>
    <cellStyle name="Normal 4 2 6 2" xfId="49191" xr:uid="{00000000-0005-0000-0000-0000593E0000}"/>
    <cellStyle name="Normal 4 2 7" xfId="14832" xr:uid="{00000000-0005-0000-0000-00005A3E0000}"/>
    <cellStyle name="Normal 4 2 7 2" xfId="49192"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5" xr:uid="{00000000-0005-0000-0000-00006C3E0000}"/>
    <cellStyle name="Normal 4 3 2 3" xfId="14849" xr:uid="{00000000-0005-0000-0000-00006D3E0000}"/>
    <cellStyle name="Normal 4 3 2 3 2" xfId="49196" xr:uid="{00000000-0005-0000-0000-00006E3E0000}"/>
    <cellStyle name="Normal 4 3 2 4" xfId="49194" xr:uid="{00000000-0005-0000-0000-00006F3E0000}"/>
    <cellStyle name="Normal 4 3 2_ELEC SAP FCST UPLOAD" xfId="14850" xr:uid="{00000000-0005-0000-0000-0000703E0000}"/>
    <cellStyle name="Normal 4 3 3" xfId="14851" xr:uid="{00000000-0005-0000-0000-0000713E0000}"/>
    <cellStyle name="Normal 4 3 3 2" xfId="49197" xr:uid="{00000000-0005-0000-0000-0000723E0000}"/>
    <cellStyle name="Normal 4 3 4" xfId="14852" xr:uid="{00000000-0005-0000-0000-0000733E0000}"/>
    <cellStyle name="Normal 4 3 4 2" xfId="49198" xr:uid="{00000000-0005-0000-0000-0000743E0000}"/>
    <cellStyle name="Normal 4 3 5" xfId="14853" xr:uid="{00000000-0005-0000-0000-0000753E0000}"/>
    <cellStyle name="Normal 4 3 5 2" xfId="49199" xr:uid="{00000000-0005-0000-0000-0000763E0000}"/>
    <cellStyle name="Normal 4 3 6" xfId="14854" xr:uid="{00000000-0005-0000-0000-0000773E0000}"/>
    <cellStyle name="Normal 4 3 6 2" xfId="49200" xr:uid="{00000000-0005-0000-0000-0000783E0000}"/>
    <cellStyle name="Normal 4 3 7" xfId="49193"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1"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2"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3"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69"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07"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6" xr:uid="{00000000-0005-0000-0000-00006D430000}"/>
    <cellStyle name="Normal 5 2 2 3" xfId="16117" xr:uid="{00000000-0005-0000-0000-00006E430000}"/>
    <cellStyle name="Normal 5 2 2 3 2" xfId="49208"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5" xr:uid="{00000000-0005-0000-0000-00007A430000}"/>
    <cellStyle name="Normal 5 2 3" xfId="16128" xr:uid="{00000000-0005-0000-0000-00007B430000}"/>
    <cellStyle name="Normal 5 2 3 2" xfId="49209" xr:uid="{00000000-0005-0000-0000-00007C430000}"/>
    <cellStyle name="Normal 5 2 4" xfId="16129" xr:uid="{00000000-0005-0000-0000-00007D430000}"/>
    <cellStyle name="Normal 5 2 4 2" xfId="49210" xr:uid="{00000000-0005-0000-0000-00007E430000}"/>
    <cellStyle name="Normal 5 2 5" xfId="16130" xr:uid="{00000000-0005-0000-0000-00007F430000}"/>
    <cellStyle name="Normal 5 2 5 2" xfId="49211" xr:uid="{00000000-0005-0000-0000-000080430000}"/>
    <cellStyle name="Normal 5 2 6" xfId="16131" xr:uid="{00000000-0005-0000-0000-000081430000}"/>
    <cellStyle name="Normal 5 2 6 2" xfId="49212"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3"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4"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5"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4"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6" xr:uid="{00000000-0005-0000-0000-00003C460000}"/>
    <cellStyle name="Normal 6 9" xfId="16825" xr:uid="{00000000-0005-0000-0000-00003D460000}"/>
    <cellStyle name="Normal 60" xfId="16826" xr:uid="{00000000-0005-0000-0000-00003E460000}"/>
    <cellStyle name="Normal 61" xfId="90" xr:uid="{00000000-0005-0000-0000-00003F460000}"/>
    <cellStyle name="Normal 61 2" xfId="16827" xr:uid="{00000000-0005-0000-0000-000040460000}"/>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37"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17"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6" xr:uid="{00000000-0005-0000-0000-000006470000}"/>
    <cellStyle name="Normal 71" xfId="51685" xr:uid="{D88C049C-0ABF-4963-A188-FC0A6DC5C5F8}"/>
    <cellStyle name="Normal 72" xfId="51687" xr:uid="{78AE7F22-65C0-4960-860E-692289CD99BD}"/>
    <cellStyle name="Normal 73" xfId="51689" xr:uid="{6DF7956B-B673-4C54-8158-D8A9E57FE5A2}"/>
    <cellStyle name="Normal 73 2" xfId="51691" xr:uid="{E3D39CB5-B8FD-4775-8F5F-0126836666F3}"/>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18"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19"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0"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1" xr:uid="{00000000-0005-0000-0000-0000574B0000}"/>
    <cellStyle name="Normál_Cost_Baseline v1.1" xfId="18122" xr:uid="{00000000-0005-0000-0000-0000594B0000}"/>
    <cellStyle name="Normal_Opex Tables 2 2 2" xfId="85" xr:uid="{00000000-0005-0000-0000-00005B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6" xr:uid="{00000000-0005-0000-0000-0000754B0000}"/>
    <cellStyle name="Note 2 2 2 3" xfId="18147" xr:uid="{00000000-0005-0000-0000-0000764B0000}"/>
    <cellStyle name="Note 2 2 2 3 2" xfId="18148" xr:uid="{00000000-0005-0000-0000-0000774B0000}"/>
    <cellStyle name="Note 2 2 2 3 3" xfId="51393"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2"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5" xr:uid="{00000000-0005-0000-0000-0000834B0000}"/>
    <cellStyle name="Note 2 2 4" xfId="18158" xr:uid="{00000000-0005-0000-0000-0000844B0000}"/>
    <cellStyle name="Note 2 2 4 2" xfId="18159" xr:uid="{00000000-0005-0000-0000-0000854B0000}"/>
    <cellStyle name="Note 2 2 4 3" xfId="51491"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4"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4" xr:uid="{00000000-0005-0000-0000-00009B4B0000}"/>
    <cellStyle name="Note 2 3 2 3" xfId="51160" xr:uid="{00000000-0005-0000-0000-00009C4B0000}"/>
    <cellStyle name="Note 2 3 2 4" xfId="49793" xr:uid="{00000000-0005-0000-0000-00009D4B0000}"/>
    <cellStyle name="Note 2 3 3" xfId="18179" xr:uid="{00000000-0005-0000-0000-00009E4B0000}"/>
    <cellStyle name="Note 2 3 3 2" xfId="50573" xr:uid="{00000000-0005-0000-0000-00009F4B0000}"/>
    <cellStyle name="Note 2 3 4" xfId="51478" xr:uid="{00000000-0005-0000-0000-0000A04B0000}"/>
    <cellStyle name="Note 2 3 5" xfId="49465"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5" xr:uid="{00000000-0005-0000-0000-0000AF4B0000}"/>
    <cellStyle name="Note 2 4 2 3" xfId="51382" xr:uid="{00000000-0005-0000-0000-0000B04B0000}"/>
    <cellStyle name="Note 2 4 2 4" xfId="49803" xr:uid="{00000000-0005-0000-0000-0000B14B0000}"/>
    <cellStyle name="Note 2 4 3" xfId="18193" xr:uid="{00000000-0005-0000-0000-0000B24B0000}"/>
    <cellStyle name="Note 2 4 3 2" xfId="50564" xr:uid="{00000000-0005-0000-0000-0000B34B0000}"/>
    <cellStyle name="Note 2 4 4" xfId="50945" xr:uid="{00000000-0005-0000-0000-0000B44B0000}"/>
    <cellStyle name="Note 2 4 5" xfId="49475"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4" xr:uid="{00000000-0005-0000-0000-0000C34B0000}"/>
    <cellStyle name="Note 2 5 3" xfId="18207" xr:uid="{00000000-0005-0000-0000-0000C44B0000}"/>
    <cellStyle name="Note 2 5 3 2" xfId="50653" xr:uid="{00000000-0005-0000-0000-0000C54B0000}"/>
    <cellStyle name="Note 2 5 4" xfId="49634"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4" xr:uid="{00000000-0005-0000-0000-0000D34B0000}"/>
    <cellStyle name="Note 2 6 3" xfId="51331" xr:uid="{00000000-0005-0000-0000-0000D44B0000}"/>
    <cellStyle name="Note 2 6 4" xfId="50039"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58"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1"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3"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2" xr:uid="{00000000-0005-0000-0000-0000024C0000}"/>
    <cellStyle name="Note 3" xfId="18261" xr:uid="{00000000-0005-0000-0000-0000034C0000}"/>
    <cellStyle name="Note 3 10" xfId="49464" xr:uid="{00000000-0005-0000-0000-0000044C0000}"/>
    <cellStyle name="Note 3 10 2" xfId="49792" xr:uid="{00000000-0005-0000-0000-0000054C0000}"/>
    <cellStyle name="Note 3 10 2 2" xfId="50205" xr:uid="{00000000-0005-0000-0000-0000064C0000}"/>
    <cellStyle name="Note 3 10 2 3" xfId="51530" xr:uid="{00000000-0005-0000-0000-0000074C0000}"/>
    <cellStyle name="Note 3 10 3" xfId="50574" xr:uid="{00000000-0005-0000-0000-0000084C0000}"/>
    <cellStyle name="Note 3 10 4" xfId="51222" xr:uid="{00000000-0005-0000-0000-0000094C0000}"/>
    <cellStyle name="Note 3 11" xfId="49476" xr:uid="{00000000-0005-0000-0000-00000A4C0000}"/>
    <cellStyle name="Note 3 11 2" xfId="49804" xr:uid="{00000000-0005-0000-0000-00000B4C0000}"/>
    <cellStyle name="Note 3 11 2 2" xfId="50194" xr:uid="{00000000-0005-0000-0000-00000C4C0000}"/>
    <cellStyle name="Note 3 11 2 3" xfId="51621" xr:uid="{00000000-0005-0000-0000-00000D4C0000}"/>
    <cellStyle name="Note 3 11 3" xfId="50563" xr:uid="{00000000-0005-0000-0000-00000E4C0000}"/>
    <cellStyle name="Note 3 11 4" xfId="51233" xr:uid="{00000000-0005-0000-0000-00000F4C0000}"/>
    <cellStyle name="Note 3 12" xfId="49635" xr:uid="{00000000-0005-0000-0000-0000104C0000}"/>
    <cellStyle name="Note 3 12 2" xfId="50987" xr:uid="{00000000-0005-0000-0000-0000114C0000}"/>
    <cellStyle name="Note 3 12 3" xfId="50649" xr:uid="{00000000-0005-0000-0000-0000124C0000}"/>
    <cellStyle name="Note 3 13" xfId="50038" xr:uid="{00000000-0005-0000-0000-0000134C0000}"/>
    <cellStyle name="Note 3 13 2" xfId="51083" xr:uid="{00000000-0005-0000-0000-0000144C0000}"/>
    <cellStyle name="Note 3 13 3" xfId="51563" xr:uid="{00000000-0005-0000-0000-0000154C0000}"/>
    <cellStyle name="Note 3 14" xfId="50757" xr:uid="{00000000-0005-0000-0000-0000164C0000}"/>
    <cellStyle name="Note 3 15" xfId="50952" xr:uid="{00000000-0005-0000-0000-0000174C0000}"/>
    <cellStyle name="Note 3 16" xfId="51139" xr:uid="{00000000-0005-0000-0000-0000184C0000}"/>
    <cellStyle name="Note 3 17" xfId="49223" xr:uid="{00000000-0005-0000-0000-0000194C0000}"/>
    <cellStyle name="Note 3 2" xfId="18262" xr:uid="{00000000-0005-0000-0000-00001A4C0000}"/>
    <cellStyle name="Note 3 2 10" xfId="49224" xr:uid="{00000000-0005-0000-0000-00001B4C0000}"/>
    <cellStyle name="Note 3 2 2" xfId="18263" xr:uid="{00000000-0005-0000-0000-00001C4C0000}"/>
    <cellStyle name="Note 3 2 2 2" xfId="49814" xr:uid="{00000000-0005-0000-0000-00001D4C0000}"/>
    <cellStyle name="Note 3 2 2 2 2" xfId="50185" xr:uid="{00000000-0005-0000-0000-00001E4C0000}"/>
    <cellStyle name="Note 3 2 2 2 3" xfId="51273" xr:uid="{00000000-0005-0000-0000-00001F4C0000}"/>
    <cellStyle name="Note 3 2 2 3" xfId="50553" xr:uid="{00000000-0005-0000-0000-0000204C0000}"/>
    <cellStyle name="Note 3 2 2 4" xfId="51454" xr:uid="{00000000-0005-0000-0000-0000214C0000}"/>
    <cellStyle name="Note 3 2 2 5" xfId="49486" xr:uid="{00000000-0005-0000-0000-0000224C0000}"/>
    <cellStyle name="Note 3 2 3" xfId="49463" xr:uid="{00000000-0005-0000-0000-0000234C0000}"/>
    <cellStyle name="Note 3 2 3 2" xfId="49791" xr:uid="{00000000-0005-0000-0000-0000244C0000}"/>
    <cellStyle name="Note 3 2 3 2 2" xfId="50206" xr:uid="{00000000-0005-0000-0000-0000254C0000}"/>
    <cellStyle name="Note 3 2 3 2 3" xfId="51272" xr:uid="{00000000-0005-0000-0000-0000264C0000}"/>
    <cellStyle name="Note 3 2 3 3" xfId="50575" xr:uid="{00000000-0005-0000-0000-0000274C0000}"/>
    <cellStyle name="Note 3 2 3 4" xfId="51457" xr:uid="{00000000-0005-0000-0000-0000284C0000}"/>
    <cellStyle name="Note 3 2 4" xfId="49477" xr:uid="{00000000-0005-0000-0000-0000294C0000}"/>
    <cellStyle name="Note 3 2 4 2" xfId="49805" xr:uid="{00000000-0005-0000-0000-00002A4C0000}"/>
    <cellStyle name="Note 3 2 4 2 2" xfId="50193" xr:uid="{00000000-0005-0000-0000-00002B4C0000}"/>
    <cellStyle name="Note 3 2 4 2 3" xfId="51136" xr:uid="{00000000-0005-0000-0000-00002C4C0000}"/>
    <cellStyle name="Note 3 2 4 3" xfId="50562" xr:uid="{00000000-0005-0000-0000-00002D4C0000}"/>
    <cellStyle name="Note 3 2 4 4" xfId="51490" xr:uid="{00000000-0005-0000-0000-00002E4C0000}"/>
    <cellStyle name="Note 3 2 5" xfId="49636" xr:uid="{00000000-0005-0000-0000-00002F4C0000}"/>
    <cellStyle name="Note 3 2 5 2" xfId="50900" xr:uid="{00000000-0005-0000-0000-0000304C0000}"/>
    <cellStyle name="Note 3 2 5 3" xfId="50650" xr:uid="{00000000-0005-0000-0000-0000314C0000}"/>
    <cellStyle name="Note 3 2 6" xfId="50037" xr:uid="{00000000-0005-0000-0000-0000324C0000}"/>
    <cellStyle name="Note 3 2 6 2" xfId="51082" xr:uid="{00000000-0005-0000-0000-0000334C0000}"/>
    <cellStyle name="Note 3 2 6 3" xfId="51306" xr:uid="{00000000-0005-0000-0000-0000344C0000}"/>
    <cellStyle name="Note 3 2 7" xfId="50756" xr:uid="{00000000-0005-0000-0000-0000354C0000}"/>
    <cellStyle name="Note 3 2 8" xfId="50904" xr:uid="{00000000-0005-0000-0000-0000364C0000}"/>
    <cellStyle name="Note 3 2 9" xfId="50772" xr:uid="{00000000-0005-0000-0000-0000374C0000}"/>
    <cellStyle name="Note 3 3" xfId="18264" xr:uid="{00000000-0005-0000-0000-0000384C0000}"/>
    <cellStyle name="Note 3 3 10" xfId="49225" xr:uid="{00000000-0005-0000-0000-0000394C0000}"/>
    <cellStyle name="Note 3 3 2" xfId="18265" xr:uid="{00000000-0005-0000-0000-00003A4C0000}"/>
    <cellStyle name="Note 3 3 2 2" xfId="49815" xr:uid="{00000000-0005-0000-0000-00003B4C0000}"/>
    <cellStyle name="Note 3 3 2 2 2" xfId="50184" xr:uid="{00000000-0005-0000-0000-00003C4C0000}"/>
    <cellStyle name="Note 3 3 2 2 3" xfId="51531" xr:uid="{00000000-0005-0000-0000-00003D4C0000}"/>
    <cellStyle name="Note 3 3 2 3" xfId="50552" xr:uid="{00000000-0005-0000-0000-00003E4C0000}"/>
    <cellStyle name="Note 3 3 2 4" xfId="51352" xr:uid="{00000000-0005-0000-0000-00003F4C0000}"/>
    <cellStyle name="Note 3 3 2 5" xfId="49487" xr:uid="{00000000-0005-0000-0000-0000404C0000}"/>
    <cellStyle name="Note 3 3 3" xfId="49462" xr:uid="{00000000-0005-0000-0000-0000414C0000}"/>
    <cellStyle name="Note 3 3 3 2" xfId="49790" xr:uid="{00000000-0005-0000-0000-0000424C0000}"/>
    <cellStyle name="Note 3 3 3 2 2" xfId="50207" xr:uid="{00000000-0005-0000-0000-0000434C0000}"/>
    <cellStyle name="Note 3 3 3 2 3" xfId="50879" xr:uid="{00000000-0005-0000-0000-0000444C0000}"/>
    <cellStyle name="Note 3 3 3 3" xfId="50576" xr:uid="{00000000-0005-0000-0000-0000454C0000}"/>
    <cellStyle name="Note 3 3 3 4" xfId="51199" xr:uid="{00000000-0005-0000-0000-0000464C0000}"/>
    <cellStyle name="Note 3 3 4" xfId="49478" xr:uid="{00000000-0005-0000-0000-0000474C0000}"/>
    <cellStyle name="Note 3 3 4 2" xfId="49806" xr:uid="{00000000-0005-0000-0000-0000484C0000}"/>
    <cellStyle name="Note 3 3 4 2 2" xfId="50192" xr:uid="{00000000-0005-0000-0000-0000494C0000}"/>
    <cellStyle name="Note 3 3 4 2 3" xfId="50894" xr:uid="{00000000-0005-0000-0000-00004A4C0000}"/>
    <cellStyle name="Note 3 3 4 3" xfId="50561" xr:uid="{00000000-0005-0000-0000-00004B4C0000}"/>
    <cellStyle name="Note 3 3 4 4" xfId="51197" xr:uid="{00000000-0005-0000-0000-00004C4C0000}"/>
    <cellStyle name="Note 3 3 5" xfId="49637" xr:uid="{00000000-0005-0000-0000-00004D4C0000}"/>
    <cellStyle name="Note 3 3 5 2" xfId="50925" xr:uid="{00000000-0005-0000-0000-00004E4C0000}"/>
    <cellStyle name="Note 3 3 5 3" xfId="50651" xr:uid="{00000000-0005-0000-0000-00004F4C0000}"/>
    <cellStyle name="Note 3 3 6" xfId="50036" xr:uid="{00000000-0005-0000-0000-0000504C0000}"/>
    <cellStyle name="Note 3 3 6 2" xfId="51081" xr:uid="{00000000-0005-0000-0000-0000514C0000}"/>
    <cellStyle name="Note 3 3 6 3" xfId="51156" xr:uid="{00000000-0005-0000-0000-0000524C0000}"/>
    <cellStyle name="Note 3 3 7" xfId="50755" xr:uid="{00000000-0005-0000-0000-0000534C0000}"/>
    <cellStyle name="Note 3 3 8" xfId="50981" xr:uid="{00000000-0005-0000-0000-0000544C0000}"/>
    <cellStyle name="Note 3 3 9" xfId="50786" xr:uid="{00000000-0005-0000-0000-0000554C0000}"/>
    <cellStyle name="Note 3 4" xfId="18266" xr:uid="{00000000-0005-0000-0000-0000564C0000}"/>
    <cellStyle name="Note 3 4 10" xfId="49226" xr:uid="{00000000-0005-0000-0000-0000574C0000}"/>
    <cellStyle name="Note 3 4 2" xfId="49488" xr:uid="{00000000-0005-0000-0000-0000584C0000}"/>
    <cellStyle name="Note 3 4 2 2" xfId="49816" xr:uid="{00000000-0005-0000-0000-0000594C0000}"/>
    <cellStyle name="Note 3 4 2 2 2" xfId="50183" xr:uid="{00000000-0005-0000-0000-00005A4C0000}"/>
    <cellStyle name="Note 3 4 2 2 3" xfId="51159" xr:uid="{00000000-0005-0000-0000-00005B4C0000}"/>
    <cellStyle name="Note 3 4 2 3" xfId="50551" xr:uid="{00000000-0005-0000-0000-00005C4C0000}"/>
    <cellStyle name="Note 3 4 2 4" xfId="51646" xr:uid="{00000000-0005-0000-0000-00005D4C0000}"/>
    <cellStyle name="Note 3 4 3" xfId="49461" xr:uid="{00000000-0005-0000-0000-00005E4C0000}"/>
    <cellStyle name="Note 3 4 3 2" xfId="49789" xr:uid="{00000000-0005-0000-0000-00005F4C0000}"/>
    <cellStyle name="Note 3 4 3 2 2" xfId="50208" xr:uid="{00000000-0005-0000-0000-0000604C0000}"/>
    <cellStyle name="Note 3 4 3 2 3" xfId="51616" xr:uid="{00000000-0005-0000-0000-0000614C0000}"/>
    <cellStyle name="Note 3 4 3 3" xfId="50577" xr:uid="{00000000-0005-0000-0000-0000624C0000}"/>
    <cellStyle name="Note 3 4 3 4" xfId="51488" xr:uid="{00000000-0005-0000-0000-0000634C0000}"/>
    <cellStyle name="Note 3 4 4" xfId="49479" xr:uid="{00000000-0005-0000-0000-0000644C0000}"/>
    <cellStyle name="Note 3 4 4 2" xfId="49807" xr:uid="{00000000-0005-0000-0000-0000654C0000}"/>
    <cellStyle name="Note 3 4 4 2 2" xfId="50191" xr:uid="{00000000-0005-0000-0000-0000664C0000}"/>
    <cellStyle name="Note 3 4 4 2 3" xfId="50965" xr:uid="{00000000-0005-0000-0000-0000674C0000}"/>
    <cellStyle name="Note 3 4 4 3" xfId="50560" xr:uid="{00000000-0005-0000-0000-0000684C0000}"/>
    <cellStyle name="Note 3 4 4 4" xfId="51455" xr:uid="{00000000-0005-0000-0000-0000694C0000}"/>
    <cellStyle name="Note 3 4 5" xfId="49638" xr:uid="{00000000-0005-0000-0000-00006A4C0000}"/>
    <cellStyle name="Note 3 4 5 2" xfId="50859" xr:uid="{00000000-0005-0000-0000-00006B4C0000}"/>
    <cellStyle name="Note 3 4 5 3" xfId="51372" xr:uid="{00000000-0005-0000-0000-00006C4C0000}"/>
    <cellStyle name="Note 3 4 6" xfId="50035" xr:uid="{00000000-0005-0000-0000-00006D4C0000}"/>
    <cellStyle name="Note 3 4 6 2" xfId="51080" xr:uid="{00000000-0005-0000-0000-00006E4C0000}"/>
    <cellStyle name="Note 3 4 6 3" xfId="51129" xr:uid="{00000000-0005-0000-0000-00006F4C0000}"/>
    <cellStyle name="Note 3 4 7" xfId="50754" xr:uid="{00000000-0005-0000-0000-0000704C0000}"/>
    <cellStyle name="Note 3 4 8" xfId="50792" xr:uid="{00000000-0005-0000-0000-0000714C0000}"/>
    <cellStyle name="Note 3 4 9" xfId="50759" xr:uid="{00000000-0005-0000-0000-0000724C0000}"/>
    <cellStyle name="Note 3 5" xfId="49227" xr:uid="{00000000-0005-0000-0000-0000734C0000}"/>
    <cellStyle name="Note 3 5 2" xfId="49489" xr:uid="{00000000-0005-0000-0000-0000744C0000}"/>
    <cellStyle name="Note 3 5 2 2" xfId="49817" xr:uid="{00000000-0005-0000-0000-0000754C0000}"/>
    <cellStyle name="Note 3 5 2 2 2" xfId="50182" xr:uid="{00000000-0005-0000-0000-0000764C0000}"/>
    <cellStyle name="Note 3 5 2 2 3" xfId="51419" xr:uid="{00000000-0005-0000-0000-0000774C0000}"/>
    <cellStyle name="Note 3 5 2 3" xfId="50550" xr:uid="{00000000-0005-0000-0000-0000784C0000}"/>
    <cellStyle name="Note 3 5 2 4" xfId="50958" xr:uid="{00000000-0005-0000-0000-0000794C0000}"/>
    <cellStyle name="Note 3 5 3" xfId="49460" xr:uid="{00000000-0005-0000-0000-00007A4C0000}"/>
    <cellStyle name="Note 3 5 3 2" xfId="49788" xr:uid="{00000000-0005-0000-0000-00007B4C0000}"/>
    <cellStyle name="Note 3 5 3 2 2" xfId="50209" xr:uid="{00000000-0005-0000-0000-00007C4C0000}"/>
    <cellStyle name="Note 3 5 3 2 3" xfId="51390" xr:uid="{00000000-0005-0000-0000-00007D4C0000}"/>
    <cellStyle name="Note 3 5 3 3" xfId="50578" xr:uid="{00000000-0005-0000-0000-00007E4C0000}"/>
    <cellStyle name="Note 3 5 3 4" xfId="51231" xr:uid="{00000000-0005-0000-0000-00007F4C0000}"/>
    <cellStyle name="Note 3 5 4" xfId="49480" xr:uid="{00000000-0005-0000-0000-0000804C0000}"/>
    <cellStyle name="Note 3 5 4 2" xfId="49808" xr:uid="{00000000-0005-0000-0000-0000814C0000}"/>
    <cellStyle name="Note 3 5 4 2 2" xfId="50190" xr:uid="{00000000-0005-0000-0000-0000824C0000}"/>
    <cellStyle name="Note 3 5 4 2 3" xfId="51274" xr:uid="{00000000-0005-0000-0000-0000834C0000}"/>
    <cellStyle name="Note 3 5 4 3" xfId="50559" xr:uid="{00000000-0005-0000-0000-0000844C0000}"/>
    <cellStyle name="Note 3 5 4 4" xfId="51351" xr:uid="{00000000-0005-0000-0000-0000854C0000}"/>
    <cellStyle name="Note 3 5 5" xfId="49639" xr:uid="{00000000-0005-0000-0000-0000864C0000}"/>
    <cellStyle name="Note 3 5 5 2" xfId="50928" xr:uid="{00000000-0005-0000-0000-0000874C0000}"/>
    <cellStyle name="Note 3 5 5 3" xfId="50664" xr:uid="{00000000-0005-0000-0000-0000884C0000}"/>
    <cellStyle name="Note 3 5 6" xfId="50034" xr:uid="{00000000-0005-0000-0000-0000894C0000}"/>
    <cellStyle name="Note 3 5 6 2" xfId="51079" xr:uid="{00000000-0005-0000-0000-00008A4C0000}"/>
    <cellStyle name="Note 3 5 6 3" xfId="50932" xr:uid="{00000000-0005-0000-0000-00008B4C0000}"/>
    <cellStyle name="Note 3 5 7" xfId="50753" xr:uid="{00000000-0005-0000-0000-00008C4C0000}"/>
    <cellStyle name="Note 3 5 8" xfId="50867" xr:uid="{00000000-0005-0000-0000-00008D4C0000}"/>
    <cellStyle name="Note 3 5 9" xfId="50982" xr:uid="{00000000-0005-0000-0000-00008E4C0000}"/>
    <cellStyle name="Note 3 6" xfId="49228" xr:uid="{00000000-0005-0000-0000-00008F4C0000}"/>
    <cellStyle name="Note 3 6 2" xfId="49490" xr:uid="{00000000-0005-0000-0000-0000904C0000}"/>
    <cellStyle name="Note 3 6 2 2" xfId="49818" xr:uid="{00000000-0005-0000-0000-0000914C0000}"/>
    <cellStyle name="Note 3 6 2 2 2" xfId="50181" xr:uid="{00000000-0005-0000-0000-0000924C0000}"/>
    <cellStyle name="Note 3 6 2 2 3" xfId="51330" xr:uid="{00000000-0005-0000-0000-0000934C0000}"/>
    <cellStyle name="Note 3 6 2 3" xfId="50549" xr:uid="{00000000-0005-0000-0000-0000944C0000}"/>
    <cellStyle name="Note 3 6 2 4" xfId="51235" xr:uid="{00000000-0005-0000-0000-0000954C0000}"/>
    <cellStyle name="Note 3 6 3" xfId="49459" xr:uid="{00000000-0005-0000-0000-0000964C0000}"/>
    <cellStyle name="Note 3 6 3 2" xfId="49787" xr:uid="{00000000-0005-0000-0000-0000974C0000}"/>
    <cellStyle name="Note 3 6 3 2 2" xfId="50210" xr:uid="{00000000-0005-0000-0000-0000984C0000}"/>
    <cellStyle name="Note 3 6 3 2 3" xfId="51557" xr:uid="{00000000-0005-0000-0000-0000994C0000}"/>
    <cellStyle name="Note 3 6 3 3" xfId="50579" xr:uid="{00000000-0005-0000-0000-00009A4C0000}"/>
    <cellStyle name="Note 3 6 3 4" xfId="50805" xr:uid="{00000000-0005-0000-0000-00009B4C0000}"/>
    <cellStyle name="Note 3 6 4" xfId="49481" xr:uid="{00000000-0005-0000-0000-00009C4C0000}"/>
    <cellStyle name="Note 3 6 4 2" xfId="49809" xr:uid="{00000000-0005-0000-0000-00009D4C0000}"/>
    <cellStyle name="Note 3 6 4 2 2" xfId="50189" xr:uid="{00000000-0005-0000-0000-00009E4C0000}"/>
    <cellStyle name="Note 3 6 4 2 3" xfId="51532" xr:uid="{00000000-0005-0000-0000-00009F4C0000}"/>
    <cellStyle name="Note 3 6 4 3" xfId="50558" xr:uid="{00000000-0005-0000-0000-0000A04C0000}"/>
    <cellStyle name="Note 3 6 4 4" xfId="51647" xr:uid="{00000000-0005-0000-0000-0000A14C0000}"/>
    <cellStyle name="Note 3 6 5" xfId="49640" xr:uid="{00000000-0005-0000-0000-0000A24C0000}"/>
    <cellStyle name="Note 3 6 5 2" xfId="50862" xr:uid="{00000000-0005-0000-0000-0000A34C0000}"/>
    <cellStyle name="Note 3 6 5 3" xfId="51210" xr:uid="{00000000-0005-0000-0000-0000A44C0000}"/>
    <cellStyle name="Note 3 6 6" xfId="49963" xr:uid="{00000000-0005-0000-0000-0000A54C0000}"/>
    <cellStyle name="Note 3 6 6 2" xfId="51008" xr:uid="{00000000-0005-0000-0000-0000A64C0000}"/>
    <cellStyle name="Note 3 6 6 3" xfId="51547" xr:uid="{00000000-0005-0000-0000-0000A74C0000}"/>
    <cellStyle name="Note 3 6 7" xfId="50752" xr:uid="{00000000-0005-0000-0000-0000A84C0000}"/>
    <cellStyle name="Note 3 6 8" xfId="50942" xr:uid="{00000000-0005-0000-0000-0000A94C0000}"/>
    <cellStyle name="Note 3 6 9" xfId="50929" xr:uid="{00000000-0005-0000-0000-0000AA4C0000}"/>
    <cellStyle name="Note 3 7" xfId="49229" xr:uid="{00000000-0005-0000-0000-0000AB4C0000}"/>
    <cellStyle name="Note 3 7 2" xfId="49491" xr:uid="{00000000-0005-0000-0000-0000AC4C0000}"/>
    <cellStyle name="Note 3 7 2 2" xfId="49819" xr:uid="{00000000-0005-0000-0000-0000AD4C0000}"/>
    <cellStyle name="Note 3 7 2 2 2" xfId="50180" xr:uid="{00000000-0005-0000-0000-0000AE4C0000}"/>
    <cellStyle name="Note 3 7 2 2 3" xfId="51586" xr:uid="{00000000-0005-0000-0000-0000AF4C0000}"/>
    <cellStyle name="Note 3 7 2 3" xfId="50548" xr:uid="{00000000-0005-0000-0000-0000B04C0000}"/>
    <cellStyle name="Note 3 7 2 4" xfId="51492" xr:uid="{00000000-0005-0000-0000-0000B14C0000}"/>
    <cellStyle name="Note 3 7 3" xfId="49458" xr:uid="{00000000-0005-0000-0000-0000B24C0000}"/>
    <cellStyle name="Note 3 7 3 2" xfId="49786" xr:uid="{00000000-0005-0000-0000-0000B34C0000}"/>
    <cellStyle name="Note 3 7 3 2 2" xfId="50211" xr:uid="{00000000-0005-0000-0000-0000B44C0000}"/>
    <cellStyle name="Note 3 7 3 2 3" xfId="51300" xr:uid="{00000000-0005-0000-0000-0000B54C0000}"/>
    <cellStyle name="Note 3 7 3 3" xfId="50580" xr:uid="{00000000-0005-0000-0000-0000B64C0000}"/>
    <cellStyle name="Note 3 7 3 4" xfId="51649" xr:uid="{00000000-0005-0000-0000-0000B74C0000}"/>
    <cellStyle name="Note 3 7 4" xfId="49482" xr:uid="{00000000-0005-0000-0000-0000B84C0000}"/>
    <cellStyle name="Note 3 7 4 2" xfId="49810" xr:uid="{00000000-0005-0000-0000-0000B94C0000}"/>
    <cellStyle name="Note 3 7 4 2 2" xfId="50188" xr:uid="{00000000-0005-0000-0000-0000BA4C0000}"/>
    <cellStyle name="Note 3 7 4 2 3" xfId="51299" xr:uid="{00000000-0005-0000-0000-0000BB4C0000}"/>
    <cellStyle name="Note 3 7 4 3" xfId="50557" xr:uid="{00000000-0005-0000-0000-0000BC4C0000}"/>
    <cellStyle name="Note 3 7 4 4" xfId="50886" xr:uid="{00000000-0005-0000-0000-0000BD4C0000}"/>
    <cellStyle name="Note 3 7 5" xfId="49641" xr:uid="{00000000-0005-0000-0000-0000BE4C0000}"/>
    <cellStyle name="Note 3 7 5 2" xfId="50923" xr:uid="{00000000-0005-0000-0000-0000BF4C0000}"/>
    <cellStyle name="Note 3 7 5 3" xfId="50764" xr:uid="{00000000-0005-0000-0000-0000C04C0000}"/>
    <cellStyle name="Note 3 7 6" xfId="50049" xr:uid="{00000000-0005-0000-0000-0000C14C0000}"/>
    <cellStyle name="Note 3 7 6 2" xfId="51093" xr:uid="{00000000-0005-0000-0000-0000C24C0000}"/>
    <cellStyle name="Note 3 7 6 3" xfId="51600" xr:uid="{00000000-0005-0000-0000-0000C34C0000}"/>
    <cellStyle name="Note 3 7 7" xfId="50751" xr:uid="{00000000-0005-0000-0000-0000C44C0000}"/>
    <cellStyle name="Note 3 7 8" xfId="50882" xr:uid="{00000000-0005-0000-0000-0000C54C0000}"/>
    <cellStyle name="Note 3 7 9" xfId="50652" xr:uid="{00000000-0005-0000-0000-0000C64C0000}"/>
    <cellStyle name="Note 3 8" xfId="49230" xr:uid="{00000000-0005-0000-0000-0000C74C0000}"/>
    <cellStyle name="Note 3 8 2" xfId="49492" xr:uid="{00000000-0005-0000-0000-0000C84C0000}"/>
    <cellStyle name="Note 3 8 2 2" xfId="49820" xr:uid="{00000000-0005-0000-0000-0000C94C0000}"/>
    <cellStyle name="Note 3 8 2 2 2" xfId="50179" xr:uid="{00000000-0005-0000-0000-0000CA4C0000}"/>
    <cellStyle name="Note 3 8 2 2 3" xfId="51669" xr:uid="{00000000-0005-0000-0000-0000CB4C0000}"/>
    <cellStyle name="Note 3 8 2 3" xfId="50547" xr:uid="{00000000-0005-0000-0000-0000CC4C0000}"/>
    <cellStyle name="Note 3 8 2 4" xfId="51195" xr:uid="{00000000-0005-0000-0000-0000CD4C0000}"/>
    <cellStyle name="Note 3 8 3" xfId="49457" xr:uid="{00000000-0005-0000-0000-0000CE4C0000}"/>
    <cellStyle name="Note 3 8 3 2" xfId="49785" xr:uid="{00000000-0005-0000-0000-0000CF4C0000}"/>
    <cellStyle name="Note 3 8 3 2 2" xfId="50212" xr:uid="{00000000-0005-0000-0000-0000D04C0000}"/>
    <cellStyle name="Note 3 8 3 2 3" xfId="51529" xr:uid="{00000000-0005-0000-0000-0000D14C0000}"/>
    <cellStyle name="Note 3 8 3 3" xfId="50581" xr:uid="{00000000-0005-0000-0000-0000D24C0000}"/>
    <cellStyle name="Note 3 8 3 4" xfId="51348" xr:uid="{00000000-0005-0000-0000-0000D34C0000}"/>
    <cellStyle name="Note 3 8 4" xfId="49483" xr:uid="{00000000-0005-0000-0000-0000D44C0000}"/>
    <cellStyle name="Note 3 8 4 2" xfId="49811" xr:uid="{00000000-0005-0000-0000-0000D54C0000}"/>
    <cellStyle name="Note 3 8 4 2 2" xfId="50187" xr:uid="{00000000-0005-0000-0000-0000D64C0000}"/>
    <cellStyle name="Note 3 8 4 2 3" xfId="51556" xr:uid="{00000000-0005-0000-0000-0000D74C0000}"/>
    <cellStyle name="Note 3 8 4 3" xfId="50556" xr:uid="{00000000-0005-0000-0000-0000D84C0000}"/>
    <cellStyle name="Note 3 8 4 4" xfId="51234" xr:uid="{00000000-0005-0000-0000-0000D94C0000}"/>
    <cellStyle name="Note 3 8 5" xfId="49642" xr:uid="{00000000-0005-0000-0000-0000DA4C0000}"/>
    <cellStyle name="Note 3 8 5 2" xfId="50858" xr:uid="{00000000-0005-0000-0000-0000DB4C0000}"/>
    <cellStyle name="Note 3 8 5 3" xfId="50782" xr:uid="{00000000-0005-0000-0000-0000DC4C0000}"/>
    <cellStyle name="Note 3 8 6" xfId="50033" xr:uid="{00000000-0005-0000-0000-0000DD4C0000}"/>
    <cellStyle name="Note 3 8 6 2" xfId="51078" xr:uid="{00000000-0005-0000-0000-0000DE4C0000}"/>
    <cellStyle name="Note 3 8 6 3" xfId="51128" xr:uid="{00000000-0005-0000-0000-0000DF4C0000}"/>
    <cellStyle name="Note 3 8 7" xfId="50750" xr:uid="{00000000-0005-0000-0000-0000E04C0000}"/>
    <cellStyle name="Note 3 8 8" xfId="50953" xr:uid="{00000000-0005-0000-0000-0000E14C0000}"/>
    <cellStyle name="Note 3 8 9" xfId="50761" xr:uid="{00000000-0005-0000-0000-0000E24C0000}"/>
    <cellStyle name="Note 3 9" xfId="49485" xr:uid="{00000000-0005-0000-0000-0000E34C0000}"/>
    <cellStyle name="Note 3 9 2" xfId="49813" xr:uid="{00000000-0005-0000-0000-0000E44C0000}"/>
    <cellStyle name="Note 3 9 2 2" xfId="50066" xr:uid="{00000000-0005-0000-0000-0000E54C0000}"/>
    <cellStyle name="Note 3 9 2 3" xfId="51666" xr:uid="{00000000-0005-0000-0000-0000E64C0000}"/>
    <cellStyle name="Note 3 9 3" xfId="50554" xr:uid="{00000000-0005-0000-0000-0000E74C0000}"/>
    <cellStyle name="Note 3 9 4" xfId="51196"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78" xr:uid="{00000000-0005-0000-0000-0000254D0000}"/>
    <cellStyle name="Output 2 2 2 3" xfId="18327" xr:uid="{00000000-0005-0000-0000-0000264D0000}"/>
    <cellStyle name="Output 2 2 2 3 2" xfId="18328" xr:uid="{00000000-0005-0000-0000-0000274D0000}"/>
    <cellStyle name="Output 2 2 2 3 3" xfId="51336"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1"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6" xr:uid="{00000000-0005-0000-0000-0000334D0000}"/>
    <cellStyle name="Output 2 2 4" xfId="18338" xr:uid="{00000000-0005-0000-0000-0000344D0000}"/>
    <cellStyle name="Output 2 2 4 2" xfId="18339" xr:uid="{00000000-0005-0000-0000-0000354D0000}"/>
    <cellStyle name="Output 2 2 4 3" xfId="51453"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3"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3" xr:uid="{00000000-0005-0000-0000-00004B4D0000}"/>
    <cellStyle name="Output 2 3 2 3" xfId="51271" xr:uid="{00000000-0005-0000-0000-00004C4D0000}"/>
    <cellStyle name="Output 2 3 2 4" xfId="49784" xr:uid="{00000000-0005-0000-0000-00004D4D0000}"/>
    <cellStyle name="Output 2 3 3" xfId="18359" xr:uid="{00000000-0005-0000-0000-00004E4D0000}"/>
    <cellStyle name="Output 2 3 3 2" xfId="50582" xr:uid="{00000000-0005-0000-0000-00004F4D0000}"/>
    <cellStyle name="Output 2 3 4" xfId="51477" xr:uid="{00000000-0005-0000-0000-0000504D0000}"/>
    <cellStyle name="Output 2 3 5" xfId="49456"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3" xr:uid="{00000000-0005-0000-0000-0000624D0000}"/>
    <cellStyle name="Output 2 4 3" xfId="18376" xr:uid="{00000000-0005-0000-0000-0000634D0000}"/>
    <cellStyle name="Output 2 4 3 2" xfId="50763" xr:uid="{00000000-0005-0000-0000-0000644D0000}"/>
    <cellStyle name="Output 2 4 4" xfId="49643"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1"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77" xr:uid="{00000000-0005-0000-0000-0000754D0000}"/>
    <cellStyle name="Output 2 5 3" xfId="18391" xr:uid="{00000000-0005-0000-0000-0000764D0000}"/>
    <cellStyle name="Output 2 5 3 2" xfId="51127" xr:uid="{00000000-0005-0000-0000-0000774D0000}"/>
    <cellStyle name="Output 2 5 4" xfId="50032" xr:uid="{00000000-0005-0000-0000-0000784D0000}"/>
    <cellStyle name="Output 2 6" xfId="18392" xr:uid="{00000000-0005-0000-0000-0000794D0000}"/>
    <cellStyle name="Output 2 6 2" xfId="18393" xr:uid="{00000000-0005-0000-0000-00007A4D0000}"/>
    <cellStyle name="Output 2 6 3" xfId="50749" xr:uid="{00000000-0005-0000-0000-00007B4D0000}"/>
    <cellStyle name="Output 2 7" xfId="18394" xr:uid="{00000000-0005-0000-0000-00007C4D0000}"/>
    <cellStyle name="Output 2 7 2" xfId="18395" xr:uid="{00000000-0005-0000-0000-00007D4D0000}"/>
    <cellStyle name="Output 2 7 3" xfId="50905"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77" xr:uid="{00000000-0005-0000-0000-0000844D0000}"/>
    <cellStyle name="Output 3 2 2 3" xfId="50746" xr:uid="{00000000-0005-0000-0000-0000854D0000}"/>
    <cellStyle name="Output 3 2 2 4" xfId="49822" xr:uid="{00000000-0005-0000-0000-0000864D0000}"/>
    <cellStyle name="Output 3 2 3" xfId="50545" xr:uid="{00000000-0005-0000-0000-0000874D0000}"/>
    <cellStyle name="Output 3 2 4" xfId="51223" xr:uid="{00000000-0005-0000-0000-0000884D0000}"/>
    <cellStyle name="Output 3 2 5" xfId="49494" xr:uid="{00000000-0005-0000-0000-0000894D0000}"/>
    <cellStyle name="Output 3 3" xfId="18401" xr:uid="{00000000-0005-0000-0000-00008A4D0000}"/>
    <cellStyle name="Output 3 3 2" xfId="18402" xr:uid="{00000000-0005-0000-0000-00008B4D0000}"/>
    <cellStyle name="Output 3 3 2 2" xfId="50214" xr:uid="{00000000-0005-0000-0000-00008C4D0000}"/>
    <cellStyle name="Output 3 3 2 3" xfId="50846" xr:uid="{00000000-0005-0000-0000-00008D4D0000}"/>
    <cellStyle name="Output 3 3 2 4" xfId="49783" xr:uid="{00000000-0005-0000-0000-00008E4D0000}"/>
    <cellStyle name="Output 3 3 3" xfId="50583" xr:uid="{00000000-0005-0000-0000-00008F4D0000}"/>
    <cellStyle name="Output 3 3 4" xfId="51221" xr:uid="{00000000-0005-0000-0000-0000904D0000}"/>
    <cellStyle name="Output 3 3 5" xfId="49455" xr:uid="{00000000-0005-0000-0000-0000914D0000}"/>
    <cellStyle name="Output 3 4" xfId="18403" xr:uid="{00000000-0005-0000-0000-0000924D0000}"/>
    <cellStyle name="Output 3 4 2" xfId="50422" xr:uid="{00000000-0005-0000-0000-0000934D0000}"/>
    <cellStyle name="Output 3 4 3" xfId="50781" xr:uid="{00000000-0005-0000-0000-0000944D0000}"/>
    <cellStyle name="Output 3 4 4" xfId="49644" xr:uid="{00000000-0005-0000-0000-0000954D0000}"/>
    <cellStyle name="Output 3 5" xfId="50031" xr:uid="{00000000-0005-0000-0000-0000964D0000}"/>
    <cellStyle name="Output 3 5 2" xfId="51076" xr:uid="{00000000-0005-0000-0000-0000974D0000}"/>
    <cellStyle name="Output 3 5 3" xfId="50863" xr:uid="{00000000-0005-0000-0000-0000984D0000}"/>
    <cellStyle name="Output 3 6" xfId="50748" xr:uid="{00000000-0005-0000-0000-0000994D0000}"/>
    <cellStyle name="Output 3 7" xfId="50980" xr:uid="{00000000-0005-0000-0000-00009A4D0000}"/>
    <cellStyle name="Output 3 8" xfId="49232"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3"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4"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5" xr:uid="{00000000-0005-0000-0000-0000BF4F0000}"/>
    <cellStyle name="Percent 14" xfId="49236" xr:uid="{00000000-0005-0000-0000-0000C04F0000}"/>
    <cellStyle name="Percent 15" xfId="48239" xr:uid="{00000000-0005-0000-0000-0000C14F0000}"/>
    <cellStyle name="Percent 16" xfId="51686" xr:uid="{A5ABCC90-F860-4D7D-893B-9C9C2F1A77B2}"/>
    <cellStyle name="Percent 17" xfId="51688" xr:uid="{7E2A4EBC-EDAF-455C-99E2-6E0AFECBF748}"/>
    <cellStyle name="Percent 18" xfId="51690" xr:uid="{30F21A05-C29D-4306-B467-A48BF6254259}"/>
    <cellStyle name="Percent 18 2" xfId="51692" xr:uid="{C980D258-6AFD-4FF7-A41C-BE019F8D96C3}"/>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3"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37"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2" xfId="21414" xr:uid="{00000000-0005-0000-0000-000069590000}"/>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0"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39"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2"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1"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4"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3"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38"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6"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6"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5"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77"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2"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78"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47"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48"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0"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49"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2"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1"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5" xr:uid="{00000000-0005-0000-0000-000057890000}"/>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79"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3"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5"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4"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57"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6"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4" xr:uid="{00000000-0005-0000-0000-000026A30000}"/>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59"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58"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0"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1"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0"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1" xr:uid="{00000000-0005-0000-0000-0000B0B70000}"/>
    <cellStyle name="SAPBEXaggData 2 2 3" xfId="50778" xr:uid="{00000000-0005-0000-0000-0000B1B70000}"/>
    <cellStyle name="SAPBEXaggData 2 2 4" xfId="49834" xr:uid="{00000000-0005-0000-0000-0000B2B70000}"/>
    <cellStyle name="SAPBEXaggData 2 3" xfId="45513" xr:uid="{00000000-0005-0000-0000-0000B3B70000}"/>
    <cellStyle name="SAPBEXaggData 2 3 2" xfId="50533" xr:uid="{00000000-0005-0000-0000-0000B4B70000}"/>
    <cellStyle name="SAPBEXaggData 2 4" xfId="50977" xr:uid="{00000000-0005-0000-0000-0000B5B70000}"/>
    <cellStyle name="SAPBEXaggData 2 5" xfId="49506"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2" xr:uid="{00000000-0005-0000-0000-0000C2B70000}"/>
    <cellStyle name="SAPBEXaggData 3 2 2" xfId="50215" xr:uid="{00000000-0005-0000-0000-0000C3B70000}"/>
    <cellStyle name="SAPBEXaggData 3 2 3" xfId="51617" xr:uid="{00000000-0005-0000-0000-0000C4B70000}"/>
    <cellStyle name="SAPBEXaggData 3 3" xfId="50584" xr:uid="{00000000-0005-0000-0000-0000C5B70000}"/>
    <cellStyle name="SAPBEXaggData 3 4" xfId="51458" xr:uid="{00000000-0005-0000-0000-0000C6B70000}"/>
    <cellStyle name="SAPBEXaggData 3 5" xfId="49454"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2" xr:uid="{00000000-0005-0000-0000-0000CBB70000}"/>
    <cellStyle name="SAPBEXaggData 4" xfId="45528" xr:uid="{00000000-0005-0000-0000-0000CCB70000}"/>
    <cellStyle name="SAPBEXaggData 4 2" xfId="49823" xr:uid="{00000000-0005-0000-0000-0000CDB70000}"/>
    <cellStyle name="SAPBEXaggData 4 2 2" xfId="50176" xr:uid="{00000000-0005-0000-0000-0000CEB70000}"/>
    <cellStyle name="SAPBEXaggData 4 2 3" xfId="50777" xr:uid="{00000000-0005-0000-0000-0000CFB70000}"/>
    <cellStyle name="SAPBEXaggData 4 3" xfId="50544" xr:uid="{00000000-0005-0000-0000-0000D0B70000}"/>
    <cellStyle name="SAPBEXaggData 4 4" xfId="51479" xr:uid="{00000000-0005-0000-0000-0000D1B70000}"/>
    <cellStyle name="SAPBEXaggData 4 5" xfId="49495" xr:uid="{00000000-0005-0000-0000-0000D2B70000}"/>
    <cellStyle name="SAPBEXaggData 5" xfId="45529" xr:uid="{00000000-0005-0000-0000-0000D3B70000}"/>
    <cellStyle name="SAPBEXaggData 5 2" xfId="50421" xr:uid="{00000000-0005-0000-0000-0000D4B70000}"/>
    <cellStyle name="SAPBEXaggData 5 3" xfId="50766" xr:uid="{00000000-0005-0000-0000-0000D5B70000}"/>
    <cellStyle name="SAPBEXaggData 5 4" xfId="49645" xr:uid="{00000000-0005-0000-0000-0000D6B70000}"/>
    <cellStyle name="SAPBEXaggData 6" xfId="45530" xr:uid="{00000000-0005-0000-0000-0000D7B70000}"/>
    <cellStyle name="SAPBEXaggData 6 2" xfId="51075" xr:uid="{00000000-0005-0000-0000-0000D8B70000}"/>
    <cellStyle name="SAPBEXaggData 6 3" xfId="51126" xr:uid="{00000000-0005-0000-0000-0000D9B70000}"/>
    <cellStyle name="SAPBEXaggData 6 4" xfId="50030" xr:uid="{00000000-0005-0000-0000-0000DAB70000}"/>
    <cellStyle name="SAPBEXaggData 7" xfId="45531" xr:uid="{00000000-0005-0000-0000-0000DBB70000}"/>
    <cellStyle name="SAPBEXaggData 7 2" xfId="50743" xr:uid="{00000000-0005-0000-0000-0000DCB70000}"/>
    <cellStyle name="SAPBEXaggData 8" xfId="45532" xr:uid="{00000000-0005-0000-0000-0000DDB70000}"/>
    <cellStyle name="SAPBEXaggData 8 2" xfId="51467" xr:uid="{00000000-0005-0000-0000-0000DEB70000}"/>
    <cellStyle name="SAPBEXaggData 9" xfId="45533" xr:uid="{00000000-0005-0000-0000-0000DFB70000}"/>
    <cellStyle name="SAPBEXaggData 9 2" xfId="51211"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0" xr:uid="{00000000-0005-0000-0000-0000EFB70000}"/>
    <cellStyle name="SAPBEXaggDataEmph 2 2 3" xfId="50768" xr:uid="{00000000-0005-0000-0000-0000F0B70000}"/>
    <cellStyle name="SAPBEXaggDataEmph 2 2 4" xfId="49835" xr:uid="{00000000-0005-0000-0000-0000F1B70000}"/>
    <cellStyle name="SAPBEXaggDataEmph 2 3" xfId="45547" xr:uid="{00000000-0005-0000-0000-0000F2B70000}"/>
    <cellStyle name="SAPBEXaggDataEmph 2 3 2" xfId="50532" xr:uid="{00000000-0005-0000-0000-0000F3B70000}"/>
    <cellStyle name="SAPBEXaggDataEmph 2 4" xfId="50806" xr:uid="{00000000-0005-0000-0000-0000F4B70000}"/>
    <cellStyle name="SAPBEXaggDataEmph 2 5" xfId="49507"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1" xr:uid="{00000000-0005-0000-0000-000001B80000}"/>
    <cellStyle name="SAPBEXaggDataEmph 3 2 2" xfId="50216" xr:uid="{00000000-0005-0000-0000-000002B80000}"/>
    <cellStyle name="SAPBEXaggDataEmph 3 2 3" xfId="51389" xr:uid="{00000000-0005-0000-0000-000003B80000}"/>
    <cellStyle name="SAPBEXaggDataEmph 3 3" xfId="50585" xr:uid="{00000000-0005-0000-0000-000004B80000}"/>
    <cellStyle name="SAPBEXaggDataEmph 3 4" xfId="51200" xr:uid="{00000000-0005-0000-0000-000005B80000}"/>
    <cellStyle name="SAPBEXaggDataEmph 3 5" xfId="49453"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3" xr:uid="{00000000-0005-0000-0000-00000AB80000}"/>
    <cellStyle name="SAPBEXaggDataEmph 4" xfId="45562" xr:uid="{00000000-0005-0000-0000-00000BB80000}"/>
    <cellStyle name="SAPBEXaggDataEmph 4 2" xfId="49824" xr:uid="{00000000-0005-0000-0000-00000CB80000}"/>
    <cellStyle name="SAPBEXaggDataEmph 4 2 2" xfId="50175" xr:uid="{00000000-0005-0000-0000-00000DB80000}"/>
    <cellStyle name="SAPBEXaggDataEmph 4 2 3" xfId="50818" xr:uid="{00000000-0005-0000-0000-00000EB80000}"/>
    <cellStyle name="SAPBEXaggDataEmph 4 3" xfId="50543" xr:uid="{00000000-0005-0000-0000-00000FB80000}"/>
    <cellStyle name="SAPBEXaggDataEmph 4 4" xfId="51353" xr:uid="{00000000-0005-0000-0000-000010B80000}"/>
    <cellStyle name="SAPBEXaggDataEmph 4 5" xfId="49496" xr:uid="{00000000-0005-0000-0000-000011B80000}"/>
    <cellStyle name="SAPBEXaggDataEmph 5" xfId="45563" xr:uid="{00000000-0005-0000-0000-000012B80000}"/>
    <cellStyle name="SAPBEXaggDataEmph 5 2" xfId="50420" xr:uid="{00000000-0005-0000-0000-000013B80000}"/>
    <cellStyle name="SAPBEXaggDataEmph 5 3" xfId="50831" xr:uid="{00000000-0005-0000-0000-000014B80000}"/>
    <cellStyle name="SAPBEXaggDataEmph 5 4" xfId="49646" xr:uid="{00000000-0005-0000-0000-000015B80000}"/>
    <cellStyle name="SAPBEXaggDataEmph 6" xfId="45564" xr:uid="{00000000-0005-0000-0000-000016B80000}"/>
    <cellStyle name="SAPBEXaggDataEmph 6 2" xfId="51074" xr:uid="{00000000-0005-0000-0000-000017B80000}"/>
    <cellStyle name="SAPBEXaggDataEmph 6 3" xfId="51601" xr:uid="{00000000-0005-0000-0000-000018B80000}"/>
    <cellStyle name="SAPBEXaggDataEmph 6 4" xfId="50029" xr:uid="{00000000-0005-0000-0000-000019B80000}"/>
    <cellStyle name="SAPBEXaggDataEmph 7" xfId="45565" xr:uid="{00000000-0005-0000-0000-00001AB80000}"/>
    <cellStyle name="SAPBEXaggDataEmph 7 2" xfId="50742" xr:uid="{00000000-0005-0000-0000-00001BB80000}"/>
    <cellStyle name="SAPBEXaggDataEmph 8" xfId="45566" xr:uid="{00000000-0005-0000-0000-00001CB80000}"/>
    <cellStyle name="SAPBEXaggDataEmph 8 2" xfId="51212" xr:uid="{00000000-0005-0000-0000-00001DB80000}"/>
    <cellStyle name="SAPBEXaggDataEmph 9" xfId="45567" xr:uid="{00000000-0005-0000-0000-00001EB80000}"/>
    <cellStyle name="SAPBEXaggDataEmph 9 2" xfId="50774"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69" xr:uid="{00000000-0005-0000-0000-00002EB80000}"/>
    <cellStyle name="SAPBEXaggItem 2 2 3" xfId="50784" xr:uid="{00000000-0005-0000-0000-00002FB80000}"/>
    <cellStyle name="SAPBEXaggItem 2 2 4" xfId="49836" xr:uid="{00000000-0005-0000-0000-000030B80000}"/>
    <cellStyle name="SAPBEXaggItem 2 3" xfId="45581" xr:uid="{00000000-0005-0000-0000-000031B80000}"/>
    <cellStyle name="SAPBEXaggItem 2 3 2" xfId="50531" xr:uid="{00000000-0005-0000-0000-000032B80000}"/>
    <cellStyle name="SAPBEXaggItem 2 4" xfId="51237" xr:uid="{00000000-0005-0000-0000-000033B80000}"/>
    <cellStyle name="SAPBEXaggItem 2 5" xfId="49508"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0" xr:uid="{00000000-0005-0000-0000-000040B80000}"/>
    <cellStyle name="SAPBEXaggItem 3 2 2" xfId="50217" xr:uid="{00000000-0005-0000-0000-000041B80000}"/>
    <cellStyle name="SAPBEXaggItem 3 2 3" xfId="51421" xr:uid="{00000000-0005-0000-0000-000042B80000}"/>
    <cellStyle name="SAPBEXaggItem 3 3" xfId="50586" xr:uid="{00000000-0005-0000-0000-000043B80000}"/>
    <cellStyle name="SAPBEXaggItem 3 4" xfId="51487" xr:uid="{00000000-0005-0000-0000-000044B80000}"/>
    <cellStyle name="SAPBEXaggItem 3 5" xfId="49452"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4" xr:uid="{00000000-0005-0000-0000-000049B80000}"/>
    <cellStyle name="SAPBEXaggItem 4" xfId="45596" xr:uid="{00000000-0005-0000-0000-00004AB80000}"/>
    <cellStyle name="SAPBEXaggItem 4 2" xfId="49825" xr:uid="{00000000-0005-0000-0000-00004BB80000}"/>
    <cellStyle name="SAPBEXaggItem 4 2 2" xfId="50174" xr:uid="{00000000-0005-0000-0000-00004CB80000}"/>
    <cellStyle name="SAPBEXaggItem 4 2 3" xfId="50855" xr:uid="{00000000-0005-0000-0000-00004DB80000}"/>
    <cellStyle name="SAPBEXaggItem 4 3" xfId="50542" xr:uid="{00000000-0005-0000-0000-00004EB80000}"/>
    <cellStyle name="SAPBEXaggItem 4 4" xfId="51645" xr:uid="{00000000-0005-0000-0000-00004FB80000}"/>
    <cellStyle name="SAPBEXaggItem 4 5" xfId="49497" xr:uid="{00000000-0005-0000-0000-000050B80000}"/>
    <cellStyle name="SAPBEXaggItem 5" xfId="45597" xr:uid="{00000000-0005-0000-0000-000051B80000}"/>
    <cellStyle name="SAPBEXaggItem 5 2" xfId="50419" xr:uid="{00000000-0005-0000-0000-000052B80000}"/>
    <cellStyle name="SAPBEXaggItem 5 3" xfId="51629" xr:uid="{00000000-0005-0000-0000-000053B80000}"/>
    <cellStyle name="SAPBEXaggItem 5 4" xfId="49647" xr:uid="{00000000-0005-0000-0000-000054B80000}"/>
    <cellStyle name="SAPBEXaggItem 6" xfId="45598" xr:uid="{00000000-0005-0000-0000-000055B80000}"/>
    <cellStyle name="SAPBEXaggItem 6 2" xfId="51073" xr:uid="{00000000-0005-0000-0000-000056B80000}"/>
    <cellStyle name="SAPBEXaggItem 6 3" xfId="50919" xr:uid="{00000000-0005-0000-0000-000057B80000}"/>
    <cellStyle name="SAPBEXaggItem 6 4" xfId="50028" xr:uid="{00000000-0005-0000-0000-000058B80000}"/>
    <cellStyle name="SAPBEXaggItem 7" xfId="45599" xr:uid="{00000000-0005-0000-0000-000059B80000}"/>
    <cellStyle name="SAPBEXaggItem 7 2" xfId="50741" xr:uid="{00000000-0005-0000-0000-00005AB80000}"/>
    <cellStyle name="SAPBEXaggItem 8" xfId="45600" xr:uid="{00000000-0005-0000-0000-00005BB80000}"/>
    <cellStyle name="SAPBEXaggItem 8 2" xfId="51469" xr:uid="{00000000-0005-0000-0000-00005CB80000}"/>
    <cellStyle name="SAPBEXaggItem 9" xfId="45601" xr:uid="{00000000-0005-0000-0000-00005DB80000}"/>
    <cellStyle name="SAPBEXaggItem 9 2" xfId="51678"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68" xr:uid="{00000000-0005-0000-0000-00006DB80000}"/>
    <cellStyle name="SAPBEXaggItemX 2 2 3" xfId="51668" xr:uid="{00000000-0005-0000-0000-00006EB80000}"/>
    <cellStyle name="SAPBEXaggItemX 2 2 4" xfId="49837" xr:uid="{00000000-0005-0000-0000-00006FB80000}"/>
    <cellStyle name="SAPBEXaggItemX 2 3" xfId="45615" xr:uid="{00000000-0005-0000-0000-000070B80000}"/>
    <cellStyle name="SAPBEXaggItemX 2 3 2" xfId="50530" xr:uid="{00000000-0005-0000-0000-000071B80000}"/>
    <cellStyle name="SAPBEXaggItemX 2 4" xfId="51494" xr:uid="{00000000-0005-0000-0000-000072B80000}"/>
    <cellStyle name="SAPBEXaggItemX 2 5" xfId="49509"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79" xr:uid="{00000000-0005-0000-0000-00007FB80000}"/>
    <cellStyle name="SAPBEXaggItemX 3 2 2" xfId="50218" xr:uid="{00000000-0005-0000-0000-000080B80000}"/>
    <cellStyle name="SAPBEXaggItemX 3 2 3" xfId="51161" xr:uid="{00000000-0005-0000-0000-000081B80000}"/>
    <cellStyle name="SAPBEXaggItemX 3 3" xfId="50587" xr:uid="{00000000-0005-0000-0000-000082B80000}"/>
    <cellStyle name="SAPBEXaggItemX 3 4" xfId="51230" xr:uid="{00000000-0005-0000-0000-000083B80000}"/>
    <cellStyle name="SAPBEXaggItemX 3 5" xfId="49451"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5" xr:uid="{00000000-0005-0000-0000-000088B80000}"/>
    <cellStyle name="SAPBEXaggItemX 4" xfId="45630" xr:uid="{00000000-0005-0000-0000-000089B80000}"/>
    <cellStyle name="SAPBEXaggItemX 4 2" xfId="50418" xr:uid="{00000000-0005-0000-0000-00008AB80000}"/>
    <cellStyle name="SAPBEXaggItemX 4 3" xfId="50663" xr:uid="{00000000-0005-0000-0000-00008BB80000}"/>
    <cellStyle name="SAPBEXaggItemX 4 4" xfId="49648" xr:uid="{00000000-0005-0000-0000-00008CB80000}"/>
    <cellStyle name="SAPBEXaggItemX 5" xfId="45631" xr:uid="{00000000-0005-0000-0000-00008DB80000}"/>
    <cellStyle name="SAPBEXaggItemX 5 2" xfId="51072" xr:uid="{00000000-0005-0000-0000-00008EB80000}"/>
    <cellStyle name="SAPBEXaggItemX 5 3" xfId="51414" xr:uid="{00000000-0005-0000-0000-00008FB80000}"/>
    <cellStyle name="SAPBEXaggItemX 5 4" xfId="50027" xr:uid="{00000000-0005-0000-0000-000090B80000}"/>
    <cellStyle name="SAPBEXaggItemX 6" xfId="45632" xr:uid="{00000000-0005-0000-0000-000091B80000}"/>
    <cellStyle name="SAPBEXaggItemX 6 2" xfId="50740" xr:uid="{00000000-0005-0000-0000-000092B80000}"/>
    <cellStyle name="SAPBEXaggItemX 7" xfId="45633" xr:uid="{00000000-0005-0000-0000-000093B80000}"/>
    <cellStyle name="SAPBEXaggItemX 7 2" xfId="51338"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6" xr:uid="{00000000-0005-0000-0000-000098B80000}"/>
    <cellStyle name="SAPBEXchaText 2" xfId="45636" xr:uid="{00000000-0005-0000-0000-000099B80000}"/>
    <cellStyle name="SAPBEXchaText 2 2" xfId="49838" xr:uid="{00000000-0005-0000-0000-00009AB80000}"/>
    <cellStyle name="SAPBEXchaText 2 2 2" xfId="50167" xr:uid="{00000000-0005-0000-0000-00009BB80000}"/>
    <cellStyle name="SAPBEXchaText 2 2 3" xfId="50817" xr:uid="{00000000-0005-0000-0000-00009CB80000}"/>
    <cellStyle name="SAPBEXchaText 2 3" xfId="50529" xr:uid="{00000000-0005-0000-0000-00009DB80000}"/>
    <cellStyle name="SAPBEXchaText 2 4" xfId="51193" xr:uid="{00000000-0005-0000-0000-00009EB80000}"/>
    <cellStyle name="SAPBEXchaText 2 5" xfId="49510" xr:uid="{00000000-0005-0000-0000-00009FB80000}"/>
    <cellStyle name="SAPBEXchaText 3" xfId="49450" xr:uid="{00000000-0005-0000-0000-0000A0B80000}"/>
    <cellStyle name="SAPBEXchaText 3 2" xfId="49778" xr:uid="{00000000-0005-0000-0000-0000A1B80000}"/>
    <cellStyle name="SAPBEXchaText 3 2 2" xfId="50219" xr:uid="{00000000-0005-0000-0000-0000A2B80000}"/>
    <cellStyle name="SAPBEXchaText 3 2 3" xfId="51528" xr:uid="{00000000-0005-0000-0000-0000A3B80000}"/>
    <cellStyle name="SAPBEXchaText 3 3" xfId="50588" xr:uid="{00000000-0005-0000-0000-0000A4B80000}"/>
    <cellStyle name="SAPBEXchaText 3 4" xfId="50978" xr:uid="{00000000-0005-0000-0000-0000A5B80000}"/>
    <cellStyle name="SAPBEXchaText 4" xfId="49498" xr:uid="{00000000-0005-0000-0000-0000A6B80000}"/>
    <cellStyle name="SAPBEXchaText 4 2" xfId="49826" xr:uid="{00000000-0005-0000-0000-0000A7B80000}"/>
    <cellStyle name="SAPBEXchaText 4 2 2" xfId="50173" xr:uid="{00000000-0005-0000-0000-0000A8B80000}"/>
    <cellStyle name="SAPBEXchaText 4 2 3" xfId="50655" xr:uid="{00000000-0005-0000-0000-0000A9B80000}"/>
    <cellStyle name="SAPBEXchaText 4 3" xfId="50541" xr:uid="{00000000-0005-0000-0000-0000AAB80000}"/>
    <cellStyle name="SAPBEXchaText 4 4" xfId="50896" xr:uid="{00000000-0005-0000-0000-0000ABB80000}"/>
    <cellStyle name="SAPBEXchaText 5" xfId="49649" xr:uid="{00000000-0005-0000-0000-0000ACB80000}"/>
    <cellStyle name="SAPBEXchaText 5 2" xfId="50417" xr:uid="{00000000-0005-0000-0000-0000ADB80000}"/>
    <cellStyle name="SAPBEXchaText 5 3" xfId="51468" xr:uid="{00000000-0005-0000-0000-0000AEB80000}"/>
    <cellStyle name="SAPBEXchaText 6" xfId="50026" xr:uid="{00000000-0005-0000-0000-0000AFB80000}"/>
    <cellStyle name="SAPBEXchaText 6 2" xfId="51071" xr:uid="{00000000-0005-0000-0000-0000B0B80000}"/>
    <cellStyle name="SAPBEXchaText 6 3" xfId="51584" xr:uid="{00000000-0005-0000-0000-0000B1B80000}"/>
    <cellStyle name="SAPBEXchaText 7" xfId="50739" xr:uid="{00000000-0005-0000-0000-0000B2B80000}"/>
    <cellStyle name="SAPBEXchaText 8" xfId="51664" xr:uid="{00000000-0005-0000-0000-0000B3B80000}"/>
    <cellStyle name="SAPBEXchaText 9" xfId="51680"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6" xr:uid="{00000000-0005-0000-0000-0000C3B80000}"/>
    <cellStyle name="SAPBEXexcBad7 2 2 3" xfId="50876" xr:uid="{00000000-0005-0000-0000-0000C4B80000}"/>
    <cellStyle name="SAPBEXexcBad7 2 2 4" xfId="49839" xr:uid="{00000000-0005-0000-0000-0000C5B80000}"/>
    <cellStyle name="SAPBEXexcBad7 2 3" xfId="45650" xr:uid="{00000000-0005-0000-0000-0000C6B80000}"/>
    <cellStyle name="SAPBEXexcBad7 2 3 2" xfId="50528" xr:uid="{00000000-0005-0000-0000-0000C7B80000}"/>
    <cellStyle name="SAPBEXexcBad7 2 4" xfId="51451" xr:uid="{00000000-0005-0000-0000-0000C8B80000}"/>
    <cellStyle name="SAPBEXexcBad7 2 5" xfId="49511"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77" xr:uid="{00000000-0005-0000-0000-0000D5B80000}"/>
    <cellStyle name="SAPBEXexcBad7 3 2 2" xfId="50220" xr:uid="{00000000-0005-0000-0000-0000D6B80000}"/>
    <cellStyle name="SAPBEXexcBad7 3 2 3" xfId="51270" xr:uid="{00000000-0005-0000-0000-0000D7B80000}"/>
    <cellStyle name="SAPBEXexcBad7 3 3" xfId="50589" xr:uid="{00000000-0005-0000-0000-0000D8B80000}"/>
    <cellStyle name="SAPBEXexcBad7 3 4" xfId="51650" xr:uid="{00000000-0005-0000-0000-0000D9B80000}"/>
    <cellStyle name="SAPBEXexcBad7 3 5" xfId="49449"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67" xr:uid="{00000000-0005-0000-0000-0000DEB80000}"/>
    <cellStyle name="SAPBEXexcBad7 4" xfId="45665" xr:uid="{00000000-0005-0000-0000-0000DFB80000}"/>
    <cellStyle name="SAPBEXexcBad7 4 2" xfId="49827" xr:uid="{00000000-0005-0000-0000-0000E0B80000}"/>
    <cellStyle name="SAPBEXexcBad7 4 2 2" xfId="50172" xr:uid="{00000000-0005-0000-0000-0000E1B80000}"/>
    <cellStyle name="SAPBEXexcBad7 4 2 3" xfId="50832" xr:uid="{00000000-0005-0000-0000-0000E2B80000}"/>
    <cellStyle name="SAPBEXexcBad7 4 3" xfId="50540" xr:uid="{00000000-0005-0000-0000-0000E3B80000}"/>
    <cellStyle name="SAPBEXexcBad7 4 4" xfId="50967" xr:uid="{00000000-0005-0000-0000-0000E4B80000}"/>
    <cellStyle name="SAPBEXexcBad7 4 5" xfId="49499" xr:uid="{00000000-0005-0000-0000-0000E5B80000}"/>
    <cellStyle name="SAPBEXexcBad7 5" xfId="45666" xr:uid="{00000000-0005-0000-0000-0000E6B80000}"/>
    <cellStyle name="SAPBEXexcBad7 5 2" xfId="50416" xr:uid="{00000000-0005-0000-0000-0000E7B80000}"/>
    <cellStyle name="SAPBEXexcBad7 5 3" xfId="50765" xr:uid="{00000000-0005-0000-0000-0000E8B80000}"/>
    <cellStyle name="SAPBEXexcBad7 5 4" xfId="49650" xr:uid="{00000000-0005-0000-0000-0000E9B80000}"/>
    <cellStyle name="SAPBEXexcBad7 6" xfId="45667" xr:uid="{00000000-0005-0000-0000-0000EAB80000}"/>
    <cellStyle name="SAPBEXexcBad7 6 2" xfId="51070" xr:uid="{00000000-0005-0000-0000-0000EBB80000}"/>
    <cellStyle name="SAPBEXexcBad7 6 3" xfId="51327" xr:uid="{00000000-0005-0000-0000-0000ECB80000}"/>
    <cellStyle name="SAPBEXexcBad7 6 4" xfId="50025" xr:uid="{00000000-0005-0000-0000-0000EDB80000}"/>
    <cellStyle name="SAPBEXexcBad7 7" xfId="45668" xr:uid="{00000000-0005-0000-0000-0000EEB80000}"/>
    <cellStyle name="SAPBEXexcBad7 7 2" xfId="50738" xr:uid="{00000000-0005-0000-0000-0000EFB80000}"/>
    <cellStyle name="SAPBEXexcBad7 8" xfId="45669" xr:uid="{00000000-0005-0000-0000-0000F0B80000}"/>
    <cellStyle name="SAPBEXexcBad7 8 2" xfId="50906" xr:uid="{00000000-0005-0000-0000-0000F1B80000}"/>
    <cellStyle name="SAPBEXexcBad7 9" xfId="45670" xr:uid="{00000000-0005-0000-0000-0000F2B80000}"/>
    <cellStyle name="SAPBEXexcBad7 9 2" xfId="50939"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5" xr:uid="{00000000-0005-0000-0000-000002B90000}"/>
    <cellStyle name="SAPBEXexcBad8 2 2 3" xfId="51276" xr:uid="{00000000-0005-0000-0000-000003B90000}"/>
    <cellStyle name="SAPBEXexcBad8 2 2 4" xfId="49840" xr:uid="{00000000-0005-0000-0000-000004B90000}"/>
    <cellStyle name="SAPBEXexcBad8 2 3" xfId="45684" xr:uid="{00000000-0005-0000-0000-000005B90000}"/>
    <cellStyle name="SAPBEXexcBad8 2 3 2" xfId="50527" xr:uid="{00000000-0005-0000-0000-000006B90000}"/>
    <cellStyle name="SAPBEXexcBad8 2 4" xfId="51355" xr:uid="{00000000-0005-0000-0000-000007B90000}"/>
    <cellStyle name="SAPBEXexcBad8 2 5" xfId="49512"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6" xr:uid="{00000000-0005-0000-0000-000014B90000}"/>
    <cellStyle name="SAPBEXexcBad8 3 2 2" xfId="50221" xr:uid="{00000000-0005-0000-0000-000015B90000}"/>
    <cellStyle name="SAPBEXexcBad8 3 2 3" xfId="50816" xr:uid="{00000000-0005-0000-0000-000016B90000}"/>
    <cellStyle name="SAPBEXexcBad8 3 3" xfId="50590" xr:uid="{00000000-0005-0000-0000-000017B90000}"/>
    <cellStyle name="SAPBEXexcBad8 3 4" xfId="51347" xr:uid="{00000000-0005-0000-0000-000018B90000}"/>
    <cellStyle name="SAPBEXexcBad8 3 5" xfId="49448"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68" xr:uid="{00000000-0005-0000-0000-00001DB90000}"/>
    <cellStyle name="SAPBEXexcBad8 4" xfId="45699" xr:uid="{00000000-0005-0000-0000-00001EB90000}"/>
    <cellStyle name="SAPBEXexcBad8 4 2" xfId="49828" xr:uid="{00000000-0005-0000-0000-00001FB90000}"/>
    <cellStyle name="SAPBEXexcBad8 4 2 2" xfId="50836" xr:uid="{00000000-0005-0000-0000-000020B90000}"/>
    <cellStyle name="SAPBEXexcBad8 4 2 3" xfId="51392" xr:uid="{00000000-0005-0000-0000-000021B90000}"/>
    <cellStyle name="SAPBEXexcBad8 4 3" xfId="50539" xr:uid="{00000000-0005-0000-0000-000022B90000}"/>
    <cellStyle name="SAPBEXexcBad8 4 4" xfId="51236" xr:uid="{00000000-0005-0000-0000-000023B90000}"/>
    <cellStyle name="SAPBEXexcBad8 4 5" xfId="49500" xr:uid="{00000000-0005-0000-0000-000024B90000}"/>
    <cellStyle name="SAPBEXexcBad8 5" xfId="45700" xr:uid="{00000000-0005-0000-0000-000025B90000}"/>
    <cellStyle name="SAPBEXexcBad8 5 2" xfId="50415" xr:uid="{00000000-0005-0000-0000-000026B90000}"/>
    <cellStyle name="SAPBEXexcBad8 5 3" xfId="50783" xr:uid="{00000000-0005-0000-0000-000027B90000}"/>
    <cellStyle name="SAPBEXexcBad8 5 4" xfId="49651" xr:uid="{00000000-0005-0000-0000-000028B90000}"/>
    <cellStyle name="SAPBEXexcBad8 6" xfId="45701" xr:uid="{00000000-0005-0000-0000-000029B90000}"/>
    <cellStyle name="SAPBEXexcBad8 6 2" xfId="51069" xr:uid="{00000000-0005-0000-0000-00002AB90000}"/>
    <cellStyle name="SAPBEXexcBad8 6 3" xfId="51554" xr:uid="{00000000-0005-0000-0000-00002BB90000}"/>
    <cellStyle name="SAPBEXexcBad8 6 4" xfId="50024" xr:uid="{00000000-0005-0000-0000-00002CB90000}"/>
    <cellStyle name="SAPBEXexcBad8 7" xfId="45702" xr:uid="{00000000-0005-0000-0000-00002DB90000}"/>
    <cellStyle name="SAPBEXexcBad8 7 2" xfId="50737" xr:uid="{00000000-0005-0000-0000-00002EB90000}"/>
    <cellStyle name="SAPBEXexcBad8 8" xfId="45703" xr:uid="{00000000-0005-0000-0000-00002FB90000}"/>
    <cellStyle name="SAPBEXexcBad8 8 2" xfId="51215" xr:uid="{00000000-0005-0000-0000-000030B90000}"/>
    <cellStyle name="SAPBEXexcBad8 9" xfId="45704" xr:uid="{00000000-0005-0000-0000-000031B90000}"/>
    <cellStyle name="SAPBEXexcBad8 9 2" xfId="50760"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4" xr:uid="{00000000-0005-0000-0000-000041B90000}"/>
    <cellStyle name="SAPBEXexcBad9 2 2 3" xfId="51534" xr:uid="{00000000-0005-0000-0000-000042B90000}"/>
    <cellStyle name="SAPBEXexcBad9 2 2 4" xfId="49841" xr:uid="{00000000-0005-0000-0000-000043B90000}"/>
    <cellStyle name="SAPBEXexcBad9 2 3" xfId="45718" xr:uid="{00000000-0005-0000-0000-000044B90000}"/>
    <cellStyle name="SAPBEXexcBad9 2 3 2" xfId="50526" xr:uid="{00000000-0005-0000-0000-000045B90000}"/>
    <cellStyle name="SAPBEXexcBad9 2 4" xfId="51643" xr:uid="{00000000-0005-0000-0000-000046B90000}"/>
    <cellStyle name="SAPBEXexcBad9 2 5" xfId="49513"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5" xr:uid="{00000000-0005-0000-0000-000053B90000}"/>
    <cellStyle name="SAPBEXexcBad9 3 2 2" xfId="50222" xr:uid="{00000000-0005-0000-0000-000054B90000}"/>
    <cellStyle name="SAPBEXexcBad9 3 2 3" xfId="51591" xr:uid="{00000000-0005-0000-0000-000055B90000}"/>
    <cellStyle name="SAPBEXexcBad9 3 3" xfId="50591" xr:uid="{00000000-0005-0000-0000-000056B90000}"/>
    <cellStyle name="SAPBEXexcBad9 3 4" xfId="51564" xr:uid="{00000000-0005-0000-0000-000057B90000}"/>
    <cellStyle name="SAPBEXexcBad9 3 5" xfId="49447"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69" xr:uid="{00000000-0005-0000-0000-00005CB90000}"/>
    <cellStyle name="SAPBEXexcBad9 4" xfId="45733" xr:uid="{00000000-0005-0000-0000-00005DB90000}"/>
    <cellStyle name="SAPBEXexcBad9 4 2" xfId="50414" xr:uid="{00000000-0005-0000-0000-00005EB90000}"/>
    <cellStyle name="SAPBEXexcBad9 4 3" xfId="50762" xr:uid="{00000000-0005-0000-0000-00005FB90000}"/>
    <cellStyle name="SAPBEXexcBad9 4 4" xfId="49652" xr:uid="{00000000-0005-0000-0000-000060B90000}"/>
    <cellStyle name="SAPBEXexcBad9 5" xfId="45734" xr:uid="{00000000-0005-0000-0000-000061B90000}"/>
    <cellStyle name="SAPBEXexcBad9 5 2" xfId="51068" xr:uid="{00000000-0005-0000-0000-000062B90000}"/>
    <cellStyle name="SAPBEXexcBad9 5 3" xfId="51296" xr:uid="{00000000-0005-0000-0000-000063B90000}"/>
    <cellStyle name="SAPBEXexcBad9 5 4" xfId="50023" xr:uid="{00000000-0005-0000-0000-000064B90000}"/>
    <cellStyle name="SAPBEXexcBad9 6" xfId="45735" xr:uid="{00000000-0005-0000-0000-000065B90000}"/>
    <cellStyle name="SAPBEXexcBad9 6 2" xfId="50736" xr:uid="{00000000-0005-0000-0000-000066B90000}"/>
    <cellStyle name="SAPBEXexcBad9 7" xfId="45736" xr:uid="{00000000-0005-0000-0000-000067B90000}"/>
    <cellStyle name="SAPBEXexcBad9 7 2" xfId="51472"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49" xr:uid="{00000000-0005-0000-0000-000079B90000}"/>
    <cellStyle name="SAPBEXexcCritical4 2 2 3" xfId="51308" xr:uid="{00000000-0005-0000-0000-00007AB90000}"/>
    <cellStyle name="SAPBEXexcCritical4 2 2 4" xfId="49842" xr:uid="{00000000-0005-0000-0000-00007BB90000}"/>
    <cellStyle name="SAPBEXexcCritical4 2 3" xfId="45752" xr:uid="{00000000-0005-0000-0000-00007CB90000}"/>
    <cellStyle name="SAPBEXexcCritical4 2 3 2" xfId="50525" xr:uid="{00000000-0005-0000-0000-00007DB90000}"/>
    <cellStyle name="SAPBEXexcCritical4 2 4" xfId="50946" xr:uid="{00000000-0005-0000-0000-00007EB90000}"/>
    <cellStyle name="SAPBEXexcCritical4 2 5" xfId="49514"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4" xr:uid="{00000000-0005-0000-0000-00008BB90000}"/>
    <cellStyle name="SAPBEXexcCritical4 3 2 2" xfId="50223" xr:uid="{00000000-0005-0000-0000-00008CB90000}"/>
    <cellStyle name="SAPBEXexcCritical4 3 2 3" xfId="51388" xr:uid="{00000000-0005-0000-0000-00008DB90000}"/>
    <cellStyle name="SAPBEXexcCritical4 3 3" xfId="50592" xr:uid="{00000000-0005-0000-0000-00008EB90000}"/>
    <cellStyle name="SAPBEXexcCritical4 3 4" xfId="51307" xr:uid="{00000000-0005-0000-0000-00008FB90000}"/>
    <cellStyle name="SAPBEXexcCritical4 3 5" xfId="49446"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0" xr:uid="{00000000-0005-0000-0000-000094B90000}"/>
    <cellStyle name="SAPBEXexcCritical4 4" xfId="45767" xr:uid="{00000000-0005-0000-0000-000095B90000}"/>
    <cellStyle name="SAPBEXexcCritical4 4 2" xfId="49922" xr:uid="{00000000-0005-0000-0000-000096B90000}"/>
    <cellStyle name="SAPBEXexcCritical4 4 2 2" xfId="50088" xr:uid="{00000000-0005-0000-0000-000097B90000}"/>
    <cellStyle name="SAPBEXexcCritical4 4 2 3" xfId="51107" xr:uid="{00000000-0005-0000-0000-000098B90000}"/>
    <cellStyle name="SAPBEXexcCritical4 4 3" xfId="50445" xr:uid="{00000000-0005-0000-0000-000099B90000}"/>
    <cellStyle name="SAPBEXexcCritical4 4 4" xfId="51240" xr:uid="{00000000-0005-0000-0000-00009AB90000}"/>
    <cellStyle name="SAPBEXexcCritical4 4 5" xfId="49594" xr:uid="{00000000-0005-0000-0000-00009BB90000}"/>
    <cellStyle name="SAPBEXexcCritical4 5" xfId="45768" xr:uid="{00000000-0005-0000-0000-00009CB90000}"/>
    <cellStyle name="SAPBEXexcCritical4 5 2" xfId="50413" xr:uid="{00000000-0005-0000-0000-00009DB90000}"/>
    <cellStyle name="SAPBEXexcCritical4 5 3" xfId="50780" xr:uid="{00000000-0005-0000-0000-00009EB90000}"/>
    <cellStyle name="SAPBEXexcCritical4 5 4" xfId="49653" xr:uid="{00000000-0005-0000-0000-00009FB90000}"/>
    <cellStyle name="SAPBEXexcCritical4 6" xfId="45769" xr:uid="{00000000-0005-0000-0000-0000A0B90000}"/>
    <cellStyle name="SAPBEXexcCritical4 6 2" xfId="51067" xr:uid="{00000000-0005-0000-0000-0000A1B90000}"/>
    <cellStyle name="SAPBEXexcCritical4 6 3" xfId="51125" xr:uid="{00000000-0005-0000-0000-0000A2B90000}"/>
    <cellStyle name="SAPBEXexcCritical4 6 4" xfId="50022" xr:uid="{00000000-0005-0000-0000-0000A3B90000}"/>
    <cellStyle name="SAPBEXexcCritical4 7" xfId="45770" xr:uid="{00000000-0005-0000-0000-0000A4B90000}"/>
    <cellStyle name="SAPBEXexcCritical4 7 2" xfId="50735" xr:uid="{00000000-0005-0000-0000-0000A5B90000}"/>
    <cellStyle name="SAPBEXexcCritical4 8" xfId="45771" xr:uid="{00000000-0005-0000-0000-0000A6B90000}"/>
    <cellStyle name="SAPBEXexcCritical4 8 2" xfId="51208" xr:uid="{00000000-0005-0000-0000-0000A7B90000}"/>
    <cellStyle name="SAPBEXexcCritical4 9" xfId="45772" xr:uid="{00000000-0005-0000-0000-0000A8B90000}"/>
    <cellStyle name="SAPBEXexcCritical4 9 2" xfId="51684"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5" xr:uid="{00000000-0005-0000-0000-0000B8B90000}"/>
    <cellStyle name="SAPBEXexcCritical5 2 2 3" xfId="51565" xr:uid="{00000000-0005-0000-0000-0000B9B90000}"/>
    <cellStyle name="SAPBEXexcCritical5 2 2 4" xfId="49843" xr:uid="{00000000-0005-0000-0000-0000BAB90000}"/>
    <cellStyle name="SAPBEXexcCritical5 2 3" xfId="45786" xr:uid="{00000000-0005-0000-0000-0000BBB90000}"/>
    <cellStyle name="SAPBEXexcCritical5 2 3 2" xfId="50524" xr:uid="{00000000-0005-0000-0000-0000BCB90000}"/>
    <cellStyle name="SAPBEXexcCritical5 2 4" xfId="50887" xr:uid="{00000000-0005-0000-0000-0000BDB90000}"/>
    <cellStyle name="SAPBEXexcCritical5 2 5" xfId="49515"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3" xr:uid="{00000000-0005-0000-0000-0000CAB90000}"/>
    <cellStyle name="SAPBEXexcCritical5 3 2 2" xfId="50224" xr:uid="{00000000-0005-0000-0000-0000CBB90000}"/>
    <cellStyle name="SAPBEXexcCritical5 3 2 3" xfId="51422" xr:uid="{00000000-0005-0000-0000-0000CCB90000}"/>
    <cellStyle name="SAPBEXexcCritical5 3 3" xfId="50593" xr:uid="{00000000-0005-0000-0000-0000CDB90000}"/>
    <cellStyle name="SAPBEXexcCritical5 3 4" xfId="51459" xr:uid="{00000000-0005-0000-0000-0000CEB90000}"/>
    <cellStyle name="SAPBEXexcCritical5 3 5" xfId="49445"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1" xr:uid="{00000000-0005-0000-0000-0000D3B90000}"/>
    <cellStyle name="SAPBEXexcCritical5 4" xfId="45801" xr:uid="{00000000-0005-0000-0000-0000D4B90000}"/>
    <cellStyle name="SAPBEXexcCritical5 4 2" xfId="49923" xr:uid="{00000000-0005-0000-0000-0000D5B90000}"/>
    <cellStyle name="SAPBEXexcCritical5 4 2 2" xfId="50826" xr:uid="{00000000-0005-0000-0000-0000D6B90000}"/>
    <cellStyle name="SAPBEXexcCritical5 4 2 3" xfId="51154" xr:uid="{00000000-0005-0000-0000-0000D7B90000}"/>
    <cellStyle name="SAPBEXexcCritical5 4 3" xfId="50444" xr:uid="{00000000-0005-0000-0000-0000D8B90000}"/>
    <cellStyle name="SAPBEXexcCritical5 4 4" xfId="51497" xr:uid="{00000000-0005-0000-0000-0000D9B90000}"/>
    <cellStyle name="SAPBEXexcCritical5 4 5" xfId="49595" xr:uid="{00000000-0005-0000-0000-0000DAB90000}"/>
    <cellStyle name="SAPBEXexcCritical5 5" xfId="45802" xr:uid="{00000000-0005-0000-0000-0000DBB90000}"/>
    <cellStyle name="SAPBEXexcCritical5 5 2" xfId="50412" xr:uid="{00000000-0005-0000-0000-0000DCB90000}"/>
    <cellStyle name="SAPBEXexcCritical5 5 3" xfId="50767" xr:uid="{00000000-0005-0000-0000-0000DDB90000}"/>
    <cellStyle name="SAPBEXexcCritical5 5 4" xfId="49654" xr:uid="{00000000-0005-0000-0000-0000DEB90000}"/>
    <cellStyle name="SAPBEXexcCritical5 6" xfId="45803" xr:uid="{00000000-0005-0000-0000-0000DFB90000}"/>
    <cellStyle name="SAPBEXexcCritical5 6 2" xfId="51066" xr:uid="{00000000-0005-0000-0000-0000E0B90000}"/>
    <cellStyle name="SAPBEXexcCritical5 6 3" xfId="51124" xr:uid="{00000000-0005-0000-0000-0000E1B90000}"/>
    <cellStyle name="SAPBEXexcCritical5 6 4" xfId="50021" xr:uid="{00000000-0005-0000-0000-0000E2B90000}"/>
    <cellStyle name="SAPBEXexcCritical5 7" xfId="45804" xr:uid="{00000000-0005-0000-0000-0000E3B90000}"/>
    <cellStyle name="SAPBEXexcCritical5 7 2" xfId="50734" xr:uid="{00000000-0005-0000-0000-0000E4B90000}"/>
    <cellStyle name="SAPBEXexcCritical5 8" xfId="45805" xr:uid="{00000000-0005-0000-0000-0000E5B90000}"/>
    <cellStyle name="SAPBEXexcCritical5 8 2" xfId="51466" xr:uid="{00000000-0005-0000-0000-0000E6B90000}"/>
    <cellStyle name="SAPBEXexcCritical5 9" xfId="45806" xr:uid="{00000000-0005-0000-0000-0000E7B90000}"/>
    <cellStyle name="SAPBEXexcCritical5 9 2" xfId="50791"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3" xr:uid="{00000000-0005-0000-0000-0000F7B90000}"/>
    <cellStyle name="SAPBEXexcCritical6 2 2 3" xfId="51395" xr:uid="{00000000-0005-0000-0000-0000F8B90000}"/>
    <cellStyle name="SAPBEXexcCritical6 2 2 4" xfId="49844" xr:uid="{00000000-0005-0000-0000-0000F9B90000}"/>
    <cellStyle name="SAPBEXexcCritical6 2 3" xfId="45820" xr:uid="{00000000-0005-0000-0000-0000FAB90000}"/>
    <cellStyle name="SAPBEXexcCritical6 2 3 2" xfId="50523" xr:uid="{00000000-0005-0000-0000-0000FBB90000}"/>
    <cellStyle name="SAPBEXexcCritical6 2 4" xfId="51239" xr:uid="{00000000-0005-0000-0000-0000FCB90000}"/>
    <cellStyle name="SAPBEXexcCritical6 2 5" xfId="49516"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2" xr:uid="{00000000-0005-0000-0000-000009BA0000}"/>
    <cellStyle name="SAPBEXexcCritical6 3 2 2" xfId="50225" xr:uid="{00000000-0005-0000-0000-00000ABA0000}"/>
    <cellStyle name="SAPBEXexcCritical6 3 2 3" xfId="51162" xr:uid="{00000000-0005-0000-0000-00000BBA0000}"/>
    <cellStyle name="SAPBEXexcCritical6 3 3" xfId="50594" xr:uid="{00000000-0005-0000-0000-00000CBA0000}"/>
    <cellStyle name="SAPBEXexcCritical6 3 4" xfId="51201" xr:uid="{00000000-0005-0000-0000-00000DBA0000}"/>
    <cellStyle name="SAPBEXexcCritical6 3 5" xfId="49444"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2" xr:uid="{00000000-0005-0000-0000-000012BA0000}"/>
    <cellStyle name="SAPBEXexcCritical6 4" xfId="45835" xr:uid="{00000000-0005-0000-0000-000013BA0000}"/>
    <cellStyle name="SAPBEXexcCritical6 4 2" xfId="49829" xr:uid="{00000000-0005-0000-0000-000014BA0000}"/>
    <cellStyle name="SAPBEXexcCritical6 4 2 2" xfId="50835" xr:uid="{00000000-0005-0000-0000-000015BA0000}"/>
    <cellStyle name="SAPBEXexcCritical6 4 2 3" xfId="50745" xr:uid="{00000000-0005-0000-0000-000016BA0000}"/>
    <cellStyle name="SAPBEXexcCritical6 4 3" xfId="50538" xr:uid="{00000000-0005-0000-0000-000017BA0000}"/>
    <cellStyle name="SAPBEXexcCritical6 4 4" xfId="51493" xr:uid="{00000000-0005-0000-0000-000018BA0000}"/>
    <cellStyle name="SAPBEXexcCritical6 4 5" xfId="49501" xr:uid="{00000000-0005-0000-0000-000019BA0000}"/>
    <cellStyle name="SAPBEXexcCritical6 5" xfId="45836" xr:uid="{00000000-0005-0000-0000-00001ABA0000}"/>
    <cellStyle name="SAPBEXexcCritical6 5 2" xfId="50411" xr:uid="{00000000-0005-0000-0000-00001BBA0000}"/>
    <cellStyle name="SAPBEXexcCritical6 5 3" xfId="50068" xr:uid="{00000000-0005-0000-0000-00001CBA0000}"/>
    <cellStyle name="SAPBEXexcCritical6 5 4" xfId="49655" xr:uid="{00000000-0005-0000-0000-00001DBA0000}"/>
    <cellStyle name="SAPBEXexcCritical6 6" xfId="45837" xr:uid="{00000000-0005-0000-0000-00001EBA0000}"/>
    <cellStyle name="SAPBEXexcCritical6 6 2" xfId="51065" xr:uid="{00000000-0005-0000-0000-00001FBA0000}"/>
    <cellStyle name="SAPBEXexcCritical6 6 3" xfId="51123" xr:uid="{00000000-0005-0000-0000-000020BA0000}"/>
    <cellStyle name="SAPBEXexcCritical6 6 4" xfId="50020" xr:uid="{00000000-0005-0000-0000-000021BA0000}"/>
    <cellStyle name="SAPBEXexcCritical6 7" xfId="45838" xr:uid="{00000000-0005-0000-0000-000022BA0000}"/>
    <cellStyle name="SAPBEXexcCritical6 7 2" xfId="50733" xr:uid="{00000000-0005-0000-0000-000023BA0000}"/>
    <cellStyle name="SAPBEXexcCritical6 8" xfId="45839" xr:uid="{00000000-0005-0000-0000-000024BA0000}"/>
    <cellStyle name="SAPBEXexcCritical6 8 2" xfId="51213" xr:uid="{00000000-0005-0000-0000-000025BA0000}"/>
    <cellStyle name="SAPBEXexcCritical6 9" xfId="45840" xr:uid="{00000000-0005-0000-0000-000026BA0000}"/>
    <cellStyle name="SAPBEXexcCritical6 9 2" xfId="50675"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2" xr:uid="{00000000-0005-0000-0000-000036BA0000}"/>
    <cellStyle name="SAPBEXexcGood1 2 2 3" xfId="51615" xr:uid="{00000000-0005-0000-0000-000037BA0000}"/>
    <cellStyle name="SAPBEXexcGood1 2 2 4" xfId="49845" xr:uid="{00000000-0005-0000-0000-000038BA0000}"/>
    <cellStyle name="SAPBEXexcGood1 2 3" xfId="45854" xr:uid="{00000000-0005-0000-0000-000039BA0000}"/>
    <cellStyle name="SAPBEXexcGood1 2 3 2" xfId="50522" xr:uid="{00000000-0005-0000-0000-00003ABA0000}"/>
    <cellStyle name="SAPBEXexcGood1 2 4" xfId="51496" xr:uid="{00000000-0005-0000-0000-00003BBA0000}"/>
    <cellStyle name="SAPBEXexcGood1 2 5" xfId="49517"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1" xr:uid="{00000000-0005-0000-0000-000048BA0000}"/>
    <cellStyle name="SAPBEXexcGood1 3 2 2" xfId="50226" xr:uid="{00000000-0005-0000-0000-000049BA0000}"/>
    <cellStyle name="SAPBEXexcGood1 3 2 3" xfId="51527" xr:uid="{00000000-0005-0000-0000-00004ABA0000}"/>
    <cellStyle name="SAPBEXexcGood1 3 3" xfId="50595" xr:uid="{00000000-0005-0000-0000-00004BBA0000}"/>
    <cellStyle name="SAPBEXexcGood1 3 4" xfId="51486" xr:uid="{00000000-0005-0000-0000-00004CBA0000}"/>
    <cellStyle name="SAPBEXexcGood1 3 5" xfId="49443"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3" xr:uid="{00000000-0005-0000-0000-000051BA0000}"/>
    <cellStyle name="SAPBEXexcGood1 4" xfId="45869" xr:uid="{00000000-0005-0000-0000-000052BA0000}"/>
    <cellStyle name="SAPBEXexcGood1 4 2" xfId="49926" xr:uid="{00000000-0005-0000-0000-000053BA0000}"/>
    <cellStyle name="SAPBEXexcGood1 4 2 2" xfId="50825" xr:uid="{00000000-0005-0000-0000-000054BA0000}"/>
    <cellStyle name="SAPBEXexcGood1 4 2 3" xfId="51148" xr:uid="{00000000-0005-0000-0000-000055BA0000}"/>
    <cellStyle name="SAPBEXexcGood1 4 3" xfId="50441" xr:uid="{00000000-0005-0000-0000-000056BA0000}"/>
    <cellStyle name="SAPBEXexcGood1 4 4" xfId="51358" xr:uid="{00000000-0005-0000-0000-000057BA0000}"/>
    <cellStyle name="SAPBEXexcGood1 4 5" xfId="49598" xr:uid="{00000000-0005-0000-0000-000058BA0000}"/>
    <cellStyle name="SAPBEXexcGood1 5" xfId="45870" xr:uid="{00000000-0005-0000-0000-000059BA0000}"/>
    <cellStyle name="SAPBEXexcGood1 5 2" xfId="50410" xr:uid="{00000000-0005-0000-0000-00005ABA0000}"/>
    <cellStyle name="SAPBEXexcGood1 5 3" xfId="50912" xr:uid="{00000000-0005-0000-0000-00005BBA0000}"/>
    <cellStyle name="SAPBEXexcGood1 5 4" xfId="49656" xr:uid="{00000000-0005-0000-0000-00005CBA0000}"/>
    <cellStyle name="SAPBEXexcGood1 6" xfId="45871" xr:uid="{00000000-0005-0000-0000-00005DBA0000}"/>
    <cellStyle name="SAPBEXexcGood1 6 2" xfId="51064" xr:uid="{00000000-0005-0000-0000-00005EBA0000}"/>
    <cellStyle name="SAPBEXexcGood1 6 3" xfId="51122" xr:uid="{00000000-0005-0000-0000-00005FBA0000}"/>
    <cellStyle name="SAPBEXexcGood1 6 4" xfId="50019" xr:uid="{00000000-0005-0000-0000-000060BA0000}"/>
    <cellStyle name="SAPBEXexcGood1 7" xfId="45872" xr:uid="{00000000-0005-0000-0000-000061BA0000}"/>
    <cellStyle name="SAPBEXexcGood1 7 2" xfId="50732" xr:uid="{00000000-0005-0000-0000-000062BA0000}"/>
    <cellStyle name="SAPBEXexcGood1 8" xfId="45873" xr:uid="{00000000-0005-0000-0000-000063BA0000}"/>
    <cellStyle name="SAPBEXexcGood1 8 2" xfId="51470" xr:uid="{00000000-0005-0000-0000-000064BA0000}"/>
    <cellStyle name="SAPBEXexcGood1 9" xfId="45874" xr:uid="{00000000-0005-0000-0000-000065BA0000}"/>
    <cellStyle name="SAPBEXexcGood1 9 2" xfId="51681"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1" xr:uid="{00000000-0005-0000-0000-000075BA0000}"/>
    <cellStyle name="SAPBEXexcGood2 2 2 3" xfId="50645" xr:uid="{00000000-0005-0000-0000-000076BA0000}"/>
    <cellStyle name="SAPBEXexcGood2 2 2 4" xfId="49846" xr:uid="{00000000-0005-0000-0000-000077BA0000}"/>
    <cellStyle name="SAPBEXexcGood2 2 3" xfId="45888" xr:uid="{00000000-0005-0000-0000-000078BA0000}"/>
    <cellStyle name="SAPBEXexcGood2 2 3 2" xfId="50521" xr:uid="{00000000-0005-0000-0000-000079BA0000}"/>
    <cellStyle name="SAPBEXexcGood2 2 4" xfId="51191" xr:uid="{00000000-0005-0000-0000-00007ABA0000}"/>
    <cellStyle name="SAPBEXexcGood2 2 5" xfId="49518"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0" xr:uid="{00000000-0005-0000-0000-000087BA0000}"/>
    <cellStyle name="SAPBEXexcGood2 3 2 2" xfId="50227" xr:uid="{00000000-0005-0000-0000-000088BA0000}"/>
    <cellStyle name="SAPBEXexcGood2 3 2 3" xfId="51269" xr:uid="{00000000-0005-0000-0000-000089BA0000}"/>
    <cellStyle name="SAPBEXexcGood2 3 3" xfId="50596" xr:uid="{00000000-0005-0000-0000-00008ABA0000}"/>
    <cellStyle name="SAPBEXexcGood2 3 4" xfId="51229" xr:uid="{00000000-0005-0000-0000-00008BBA0000}"/>
    <cellStyle name="SAPBEXexcGood2 3 5" xfId="49442"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4" xr:uid="{00000000-0005-0000-0000-000090BA0000}"/>
    <cellStyle name="SAPBEXexcGood2 4" xfId="45903" xr:uid="{00000000-0005-0000-0000-000091BA0000}"/>
    <cellStyle name="SAPBEXexcGood2 4 2" xfId="49830" xr:uid="{00000000-0005-0000-0000-000092BA0000}"/>
    <cellStyle name="SAPBEXexcGood2 4 2 2" xfId="50837" xr:uid="{00000000-0005-0000-0000-000093BA0000}"/>
    <cellStyle name="SAPBEXexcGood2 4 2 3" xfId="51658" xr:uid="{00000000-0005-0000-0000-000094BA0000}"/>
    <cellStyle name="SAPBEXexcGood2 4 3" xfId="50537" xr:uid="{00000000-0005-0000-0000-000095BA0000}"/>
    <cellStyle name="SAPBEXexcGood2 4 4" xfId="51194" xr:uid="{00000000-0005-0000-0000-000096BA0000}"/>
    <cellStyle name="SAPBEXexcGood2 4 5" xfId="49502" xr:uid="{00000000-0005-0000-0000-000097BA0000}"/>
    <cellStyle name="SAPBEXexcGood2 5" xfId="45904" xr:uid="{00000000-0005-0000-0000-000098BA0000}"/>
    <cellStyle name="SAPBEXexcGood2 5 2" xfId="50409" xr:uid="{00000000-0005-0000-0000-000099BA0000}"/>
    <cellStyle name="SAPBEXexcGood2 5 3" xfId="51255" xr:uid="{00000000-0005-0000-0000-00009ABA0000}"/>
    <cellStyle name="SAPBEXexcGood2 5 4" xfId="49657" xr:uid="{00000000-0005-0000-0000-00009BBA0000}"/>
    <cellStyle name="SAPBEXexcGood2 6" xfId="45905" xr:uid="{00000000-0005-0000-0000-00009CBA0000}"/>
    <cellStyle name="SAPBEXexcGood2 6 2" xfId="51063" xr:uid="{00000000-0005-0000-0000-00009DBA0000}"/>
    <cellStyle name="SAPBEXexcGood2 6 3" xfId="51602" xr:uid="{00000000-0005-0000-0000-00009EBA0000}"/>
    <cellStyle name="SAPBEXexcGood2 6 4" xfId="50018" xr:uid="{00000000-0005-0000-0000-00009FBA0000}"/>
    <cellStyle name="SAPBEXexcGood2 7" xfId="45906" xr:uid="{00000000-0005-0000-0000-0000A0BA0000}"/>
    <cellStyle name="SAPBEXexcGood2 7 2" xfId="50731" xr:uid="{00000000-0005-0000-0000-0000A1BA0000}"/>
    <cellStyle name="SAPBEXexcGood2 8" xfId="45907" xr:uid="{00000000-0005-0000-0000-0000A2BA0000}"/>
    <cellStyle name="SAPBEXexcGood2 8 2" xfId="51339" xr:uid="{00000000-0005-0000-0000-0000A3BA0000}"/>
    <cellStyle name="SAPBEXexcGood2 9" xfId="45908" xr:uid="{00000000-0005-0000-0000-0000A4BA0000}"/>
    <cellStyle name="SAPBEXexcGood2 9 2" xfId="50744"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0" xr:uid="{00000000-0005-0000-0000-0000B4BA0000}"/>
    <cellStyle name="SAPBEXexcGood3 2 2 3" xfId="51309" xr:uid="{00000000-0005-0000-0000-0000B5BA0000}"/>
    <cellStyle name="SAPBEXexcGood3 2 2 4" xfId="49847" xr:uid="{00000000-0005-0000-0000-0000B6BA0000}"/>
    <cellStyle name="SAPBEXexcGood3 2 3" xfId="45922" xr:uid="{00000000-0005-0000-0000-0000B7BA0000}"/>
    <cellStyle name="SAPBEXexcGood3 2 3 2" xfId="50520" xr:uid="{00000000-0005-0000-0000-0000B8BA0000}"/>
    <cellStyle name="SAPBEXexcGood3 2 4" xfId="51449" xr:uid="{00000000-0005-0000-0000-0000B9BA0000}"/>
    <cellStyle name="SAPBEXexcGood3 2 5" xfId="49519"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69" xr:uid="{00000000-0005-0000-0000-0000C6BA0000}"/>
    <cellStyle name="SAPBEXexcGood3 3 2 2" xfId="50228" xr:uid="{00000000-0005-0000-0000-0000C7BA0000}"/>
    <cellStyle name="SAPBEXexcGood3 3 2 3" xfId="50815" xr:uid="{00000000-0005-0000-0000-0000C8BA0000}"/>
    <cellStyle name="SAPBEXexcGood3 3 3" xfId="50597" xr:uid="{00000000-0005-0000-0000-0000C9BA0000}"/>
    <cellStyle name="SAPBEXexcGood3 3 4" xfId="50909" xr:uid="{00000000-0005-0000-0000-0000CABA0000}"/>
    <cellStyle name="SAPBEXexcGood3 3 5" xfId="49441"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5" xr:uid="{00000000-0005-0000-0000-0000CFBA0000}"/>
    <cellStyle name="SAPBEXexcGood3 4" xfId="45937" xr:uid="{00000000-0005-0000-0000-0000D0BA0000}"/>
    <cellStyle name="SAPBEXexcGood3 4 2" xfId="49831" xr:uid="{00000000-0005-0000-0000-0000D1BA0000}"/>
    <cellStyle name="SAPBEXexcGood3 4 2 2" xfId="50834" xr:uid="{00000000-0005-0000-0000-0000D2BA0000}"/>
    <cellStyle name="SAPBEXexcGood3 4 2 3" xfId="50659" xr:uid="{00000000-0005-0000-0000-0000D3BA0000}"/>
    <cellStyle name="SAPBEXexcGood3 4 3" xfId="50536" xr:uid="{00000000-0005-0000-0000-0000D4BA0000}"/>
    <cellStyle name="SAPBEXexcGood3 4 4" xfId="51452" xr:uid="{00000000-0005-0000-0000-0000D5BA0000}"/>
    <cellStyle name="SAPBEXexcGood3 4 5" xfId="49503" xr:uid="{00000000-0005-0000-0000-0000D6BA0000}"/>
    <cellStyle name="SAPBEXexcGood3 5" xfId="45938" xr:uid="{00000000-0005-0000-0000-0000D7BA0000}"/>
    <cellStyle name="SAPBEXexcGood3 5 2" xfId="50408" xr:uid="{00000000-0005-0000-0000-0000D8BA0000}"/>
    <cellStyle name="SAPBEXexcGood3 5 3" xfId="51512" xr:uid="{00000000-0005-0000-0000-0000D9BA0000}"/>
    <cellStyle name="SAPBEXexcGood3 5 4" xfId="49658" xr:uid="{00000000-0005-0000-0000-0000DABA0000}"/>
    <cellStyle name="SAPBEXexcGood3 6" xfId="45939" xr:uid="{00000000-0005-0000-0000-0000DBBA0000}"/>
    <cellStyle name="SAPBEXexcGood3 6 2" xfId="51062" xr:uid="{00000000-0005-0000-0000-0000DCBA0000}"/>
    <cellStyle name="SAPBEXexcGood3 6 3" xfId="51413" xr:uid="{00000000-0005-0000-0000-0000DDBA0000}"/>
    <cellStyle name="SAPBEXexcGood3 6 4" xfId="50017" xr:uid="{00000000-0005-0000-0000-0000DEBA0000}"/>
    <cellStyle name="SAPBEXexcGood3 7" xfId="45940" xr:uid="{00000000-0005-0000-0000-0000DFBA0000}"/>
    <cellStyle name="SAPBEXexcGood3 7 2" xfId="50730" xr:uid="{00000000-0005-0000-0000-0000E0BA0000}"/>
    <cellStyle name="SAPBEXexcGood3 8" xfId="45941" xr:uid="{00000000-0005-0000-0000-0000E1BA0000}"/>
    <cellStyle name="SAPBEXexcGood3 8 2" xfId="51657" xr:uid="{00000000-0005-0000-0000-0000E2BA0000}"/>
    <cellStyle name="SAPBEXexcGood3 9" xfId="45942" xr:uid="{00000000-0005-0000-0000-0000E3BA0000}"/>
    <cellStyle name="SAPBEXexcGood3 9 2" xfId="50921"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48" xr:uid="{00000000-0005-0000-0000-0000E8BA0000}"/>
    <cellStyle name="SAPBEXfilterDrill 2 2 2" xfId="50159" xr:uid="{00000000-0005-0000-0000-0000E9BA0000}"/>
    <cellStyle name="SAPBEXfilterDrill 2 2 3" xfId="51566" xr:uid="{00000000-0005-0000-0000-0000EABA0000}"/>
    <cellStyle name="SAPBEXfilterDrill 2 3" xfId="50519" xr:uid="{00000000-0005-0000-0000-0000EBBA0000}"/>
    <cellStyle name="SAPBEXfilterDrill 2 4" xfId="51357" xr:uid="{00000000-0005-0000-0000-0000ECBA0000}"/>
    <cellStyle name="SAPBEXfilterDrill 2 5" xfId="49520" xr:uid="{00000000-0005-0000-0000-0000EDBA0000}"/>
    <cellStyle name="SAPBEXfilterDrill 3" xfId="49440" xr:uid="{00000000-0005-0000-0000-0000EEBA0000}"/>
    <cellStyle name="SAPBEXfilterDrill 3 2" xfId="49768" xr:uid="{00000000-0005-0000-0000-0000EFBA0000}"/>
    <cellStyle name="SAPBEXfilterDrill 3 2 2" xfId="50229" xr:uid="{00000000-0005-0000-0000-0000F0BA0000}"/>
    <cellStyle name="SAPBEXfilterDrill 3 2 3" xfId="51618" xr:uid="{00000000-0005-0000-0000-0000F1BA0000}"/>
    <cellStyle name="SAPBEXfilterDrill 3 3" xfId="50598" xr:uid="{00000000-0005-0000-0000-0000F2BA0000}"/>
    <cellStyle name="SAPBEXfilterDrill 3 4" xfId="51651" xr:uid="{00000000-0005-0000-0000-0000F3BA0000}"/>
    <cellStyle name="SAPBEXfilterDrill 4" xfId="49659" xr:uid="{00000000-0005-0000-0000-0000F4BA0000}"/>
    <cellStyle name="SAPBEXfilterDrill 4 2" xfId="50407" xr:uid="{00000000-0005-0000-0000-0000F5BA0000}"/>
    <cellStyle name="SAPBEXfilterDrill 4 3" xfId="51175" xr:uid="{00000000-0005-0000-0000-0000F6BA0000}"/>
    <cellStyle name="SAPBEXfilterDrill 5" xfId="50016" xr:uid="{00000000-0005-0000-0000-0000F7BA0000}"/>
    <cellStyle name="SAPBEXfilterDrill 5 2" xfId="51061" xr:uid="{00000000-0005-0000-0000-0000F8BA0000}"/>
    <cellStyle name="SAPBEXfilterDrill 5 3" xfId="51590" xr:uid="{00000000-0005-0000-0000-0000F9BA0000}"/>
    <cellStyle name="SAPBEXfilterDrill 6" xfId="50729" xr:uid="{00000000-0005-0000-0000-0000FABA0000}"/>
    <cellStyle name="SAPBEXfilterDrill 7" xfId="51214" xr:uid="{00000000-0005-0000-0000-0000FBBA0000}"/>
    <cellStyle name="SAPBEXfilterDrill 8" xfId="49276"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49" xr:uid="{00000000-0005-0000-0000-000000BB0000}"/>
    <cellStyle name="SAPBEXfilterItem 2 2 2" xfId="50158" xr:uid="{00000000-0005-0000-0000-000001BB0000}"/>
    <cellStyle name="SAPBEXfilterItem 2 2 3" xfId="51396" xr:uid="{00000000-0005-0000-0000-000002BB0000}"/>
    <cellStyle name="SAPBEXfilterItem 2 3" xfId="50518" xr:uid="{00000000-0005-0000-0000-000003BB0000}"/>
    <cellStyle name="SAPBEXfilterItem 2 4" xfId="51641" xr:uid="{00000000-0005-0000-0000-000004BB0000}"/>
    <cellStyle name="SAPBEXfilterItem 2 5" xfId="49521" xr:uid="{00000000-0005-0000-0000-000005BB0000}"/>
    <cellStyle name="SAPBEXfilterItem 3" xfId="49439" xr:uid="{00000000-0005-0000-0000-000006BB0000}"/>
    <cellStyle name="SAPBEXfilterItem 3 2" xfId="49767" xr:uid="{00000000-0005-0000-0000-000007BB0000}"/>
    <cellStyle name="SAPBEXfilterItem 3 2 2" xfId="50230" xr:uid="{00000000-0005-0000-0000-000008BB0000}"/>
    <cellStyle name="SAPBEXfilterItem 3 2 3" xfId="51387" xr:uid="{00000000-0005-0000-0000-000009BB0000}"/>
    <cellStyle name="SAPBEXfilterItem 3 3" xfId="50599" xr:uid="{00000000-0005-0000-0000-00000ABB0000}"/>
    <cellStyle name="SAPBEXfilterItem 3 4" xfId="51346" xr:uid="{00000000-0005-0000-0000-00000BBB0000}"/>
    <cellStyle name="SAPBEXfilterItem 4" xfId="49660" xr:uid="{00000000-0005-0000-0000-00000CBB0000}"/>
    <cellStyle name="SAPBEXfilterItem 4 2" xfId="50406" xr:uid="{00000000-0005-0000-0000-00000DBB0000}"/>
    <cellStyle name="SAPBEXfilterItem 4 3" xfId="51434" xr:uid="{00000000-0005-0000-0000-00000EBB0000}"/>
    <cellStyle name="SAPBEXfilterItem 5" xfId="50015" xr:uid="{00000000-0005-0000-0000-00000FBB0000}"/>
    <cellStyle name="SAPBEXfilterItem 5 2" xfId="51060" xr:uid="{00000000-0005-0000-0000-000010BB0000}"/>
    <cellStyle name="SAPBEXfilterItem 5 3" xfId="51335" xr:uid="{00000000-0005-0000-0000-000011BB0000}"/>
    <cellStyle name="SAPBEXfilterItem 6" xfId="50728" xr:uid="{00000000-0005-0000-0000-000012BB0000}"/>
    <cellStyle name="SAPBEXfilterItem 7" xfId="51471" xr:uid="{00000000-0005-0000-0000-000013BB0000}"/>
    <cellStyle name="SAPBEXfilterItem 8" xfId="49277"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0" xr:uid="{00000000-0005-0000-0000-000018BB0000}"/>
    <cellStyle name="SAPBEXfilterText 2 2 2" xfId="50157" xr:uid="{00000000-0005-0000-0000-000019BB0000}"/>
    <cellStyle name="SAPBEXfilterText 2 2 3" xfId="51614" xr:uid="{00000000-0005-0000-0000-00001ABB0000}"/>
    <cellStyle name="SAPBEXfilterText 2 3" xfId="50517" xr:uid="{00000000-0005-0000-0000-00001BBB0000}"/>
    <cellStyle name="SAPBEXfilterText 2 4" xfId="51238" xr:uid="{00000000-0005-0000-0000-00001CBB0000}"/>
    <cellStyle name="SAPBEXfilterText 2 5" xfId="49522" xr:uid="{00000000-0005-0000-0000-00001DBB0000}"/>
    <cellStyle name="SAPBEXfilterText 3" xfId="49438" xr:uid="{00000000-0005-0000-0000-00001EBB0000}"/>
    <cellStyle name="SAPBEXfilterText 3 2" xfId="49766" xr:uid="{00000000-0005-0000-0000-00001FBB0000}"/>
    <cellStyle name="SAPBEXfilterText 3 2 2" xfId="50231" xr:uid="{00000000-0005-0000-0000-000020BB0000}"/>
    <cellStyle name="SAPBEXfilterText 3 2 3" xfId="51423" xr:uid="{00000000-0005-0000-0000-000021BB0000}"/>
    <cellStyle name="SAPBEXfilterText 3 3" xfId="50600" xr:uid="{00000000-0005-0000-0000-000022BB0000}"/>
    <cellStyle name="SAPBEXfilterText 3 4" xfId="51476" xr:uid="{00000000-0005-0000-0000-000023BB0000}"/>
    <cellStyle name="SAPBEXfilterText 4" xfId="49661" xr:uid="{00000000-0005-0000-0000-000024BB0000}"/>
    <cellStyle name="SAPBEXfilterText 4 2" xfId="50405" xr:uid="{00000000-0005-0000-0000-000025BB0000}"/>
    <cellStyle name="SAPBEXfilterText 4 3" xfId="51373" xr:uid="{00000000-0005-0000-0000-000026BB0000}"/>
    <cellStyle name="SAPBEXfilterText 5" xfId="50014" xr:uid="{00000000-0005-0000-0000-000027BB0000}"/>
    <cellStyle name="SAPBEXfilterText 5 2" xfId="51059" xr:uid="{00000000-0005-0000-0000-000028BB0000}"/>
    <cellStyle name="SAPBEXfilterText 5 3" xfId="51583" xr:uid="{00000000-0005-0000-0000-000029BB0000}"/>
    <cellStyle name="SAPBEXfilterText 6" xfId="50727" xr:uid="{00000000-0005-0000-0000-00002ABB0000}"/>
    <cellStyle name="SAPBEXfilterText 7" xfId="50979" xr:uid="{00000000-0005-0000-0000-00002BBB0000}"/>
    <cellStyle name="SAPBEXfilterText 8" xfId="49278"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6" xr:uid="{00000000-0005-0000-0000-00003BBB0000}"/>
    <cellStyle name="SAPBEXformats 2 2 3" xfId="50949" xr:uid="{00000000-0005-0000-0000-00003CBB0000}"/>
    <cellStyle name="SAPBEXformats 2 2 4" xfId="49851" xr:uid="{00000000-0005-0000-0000-00003DBB0000}"/>
    <cellStyle name="SAPBEXformats 2 3" xfId="45962" xr:uid="{00000000-0005-0000-0000-00003EBB0000}"/>
    <cellStyle name="SAPBEXformats 2 3 2" xfId="50516" xr:uid="{00000000-0005-0000-0000-00003FBB0000}"/>
    <cellStyle name="SAPBEXformats 2 4" xfId="51495" xr:uid="{00000000-0005-0000-0000-000040BB0000}"/>
    <cellStyle name="SAPBEXformats 2 5" xfId="49523"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5" xr:uid="{00000000-0005-0000-0000-00004DBB0000}"/>
    <cellStyle name="SAPBEXformats 3 2 2" xfId="50232" xr:uid="{00000000-0005-0000-0000-00004EBB0000}"/>
    <cellStyle name="SAPBEXformats 3 2 3" xfId="51163" xr:uid="{00000000-0005-0000-0000-00004FBB0000}"/>
    <cellStyle name="SAPBEXformats 3 3" xfId="50601" xr:uid="{00000000-0005-0000-0000-000050BB0000}"/>
    <cellStyle name="SAPBEXformats 3 4" xfId="51220" xr:uid="{00000000-0005-0000-0000-000051BB0000}"/>
    <cellStyle name="SAPBEXformats 3 5" xfId="49437"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79" xr:uid="{00000000-0005-0000-0000-000056BB0000}"/>
    <cellStyle name="SAPBEXformats 4" xfId="45977" xr:uid="{00000000-0005-0000-0000-000057BB0000}"/>
    <cellStyle name="SAPBEXformats 4 2" xfId="49832" xr:uid="{00000000-0005-0000-0000-000058BB0000}"/>
    <cellStyle name="SAPBEXformats 4 2 2" xfId="50847" xr:uid="{00000000-0005-0000-0000-000059BB0000}"/>
    <cellStyle name="SAPBEXformats 4 2 3" xfId="50776" xr:uid="{00000000-0005-0000-0000-00005ABB0000}"/>
    <cellStyle name="SAPBEXformats 4 3" xfId="50535" xr:uid="{00000000-0005-0000-0000-00005BBB0000}"/>
    <cellStyle name="SAPBEXformats 4 4" xfId="51354" xr:uid="{00000000-0005-0000-0000-00005CBB0000}"/>
    <cellStyle name="SAPBEXformats 4 5" xfId="49504" xr:uid="{00000000-0005-0000-0000-00005DBB0000}"/>
    <cellStyle name="SAPBEXformats 5" xfId="45978" xr:uid="{00000000-0005-0000-0000-00005EBB0000}"/>
    <cellStyle name="SAPBEXformats 5 2" xfId="50404" xr:uid="{00000000-0005-0000-0000-00005FBB0000}"/>
    <cellStyle name="SAPBEXformats 5 3" xfId="51628" xr:uid="{00000000-0005-0000-0000-000060BB0000}"/>
    <cellStyle name="SAPBEXformats 5 4" xfId="49662" xr:uid="{00000000-0005-0000-0000-000061BB0000}"/>
    <cellStyle name="SAPBEXformats 6" xfId="45979" xr:uid="{00000000-0005-0000-0000-000062BB0000}"/>
    <cellStyle name="SAPBEXformats 6 2" xfId="51058" xr:uid="{00000000-0005-0000-0000-000063BB0000}"/>
    <cellStyle name="SAPBEXformats 6 3" xfId="51326" xr:uid="{00000000-0005-0000-0000-000064BB0000}"/>
    <cellStyle name="SAPBEXformats 6 4" xfId="50013" xr:uid="{00000000-0005-0000-0000-000065BB0000}"/>
    <cellStyle name="SAPBEXformats 7" xfId="45980" xr:uid="{00000000-0005-0000-0000-000066BB0000}"/>
    <cellStyle name="SAPBEXformats 7 2" xfId="50726" xr:uid="{00000000-0005-0000-0000-000067BB0000}"/>
    <cellStyle name="SAPBEXformats 8" xfId="45981" xr:uid="{00000000-0005-0000-0000-000068BB0000}"/>
    <cellStyle name="SAPBEXformats 8 2" xfId="51216" xr:uid="{00000000-0005-0000-0000-000069BB0000}"/>
    <cellStyle name="SAPBEXformats 9" xfId="45982" xr:uid="{00000000-0005-0000-0000-00006ABB0000}"/>
    <cellStyle name="SAPBEXformats 9 2" xfId="50779"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4" xr:uid="{00000000-0005-0000-0000-00006FBB0000}"/>
    <cellStyle name="SAPBEXheaderItem 3 2" xfId="49852" xr:uid="{00000000-0005-0000-0000-000070BB0000}"/>
    <cellStyle name="SAPBEXheaderItem 3 2 2" xfId="50155" xr:uid="{00000000-0005-0000-0000-000071BB0000}"/>
    <cellStyle name="SAPBEXheaderItem 3 2 3" xfId="51278" xr:uid="{00000000-0005-0000-0000-000072BB0000}"/>
    <cellStyle name="SAPBEXheaderItem 3 3" xfId="50515" xr:uid="{00000000-0005-0000-0000-000073BB0000}"/>
    <cellStyle name="SAPBEXheaderItem 3 4" xfId="51192" xr:uid="{00000000-0005-0000-0000-000074BB0000}"/>
    <cellStyle name="SAPBEXheaderItem 4" xfId="49436" xr:uid="{00000000-0005-0000-0000-000075BB0000}"/>
    <cellStyle name="SAPBEXheaderItem 4 2" xfId="49764" xr:uid="{00000000-0005-0000-0000-000076BB0000}"/>
    <cellStyle name="SAPBEXheaderItem 4 2 2" xfId="50233" xr:uid="{00000000-0005-0000-0000-000077BB0000}"/>
    <cellStyle name="SAPBEXheaderItem 4 2 3" xfId="51526" xr:uid="{00000000-0005-0000-0000-000078BB0000}"/>
    <cellStyle name="SAPBEXheaderItem 4 3" xfId="50602" xr:uid="{00000000-0005-0000-0000-000079BB0000}"/>
    <cellStyle name="SAPBEXheaderItem 4 4" xfId="51460" xr:uid="{00000000-0005-0000-0000-00007ABB0000}"/>
    <cellStyle name="SAPBEXheaderItem 5" xfId="49663" xr:uid="{00000000-0005-0000-0000-00007BBB0000}"/>
    <cellStyle name="SAPBEXheaderItem 5 2" xfId="50403" xr:uid="{00000000-0005-0000-0000-00007CBB0000}"/>
    <cellStyle name="SAPBEXheaderItem 5 3" xfId="50974" xr:uid="{00000000-0005-0000-0000-00007DBB0000}"/>
    <cellStyle name="SAPBEXheaderItem 6" xfId="50012" xr:uid="{00000000-0005-0000-0000-00007EBB0000}"/>
    <cellStyle name="SAPBEXheaderItem 6 2" xfId="51057" xr:uid="{00000000-0005-0000-0000-00007FBB0000}"/>
    <cellStyle name="SAPBEXheaderItem 6 3" xfId="51553" xr:uid="{00000000-0005-0000-0000-000080BB0000}"/>
    <cellStyle name="SAPBEXheaderItem 7" xfId="50725" xr:uid="{00000000-0005-0000-0000-000081BB0000}"/>
    <cellStyle name="SAPBEXheaderItem 8" xfId="51473" xr:uid="{00000000-0005-0000-0000-000082BB0000}"/>
    <cellStyle name="SAPBEXheaderItem 9" xfId="49280"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5" xr:uid="{00000000-0005-0000-0000-000087BB0000}"/>
    <cellStyle name="SAPBEXheaderText 3 2" xfId="49853" xr:uid="{00000000-0005-0000-0000-000088BB0000}"/>
    <cellStyle name="SAPBEXheaderText 3 2 2" xfId="50067" xr:uid="{00000000-0005-0000-0000-000089BB0000}"/>
    <cellStyle name="SAPBEXheaderText 3 2 3" xfId="51536" xr:uid="{00000000-0005-0000-0000-00008ABB0000}"/>
    <cellStyle name="SAPBEXheaderText 3 3" xfId="50514" xr:uid="{00000000-0005-0000-0000-00008BBB0000}"/>
    <cellStyle name="SAPBEXheaderText 3 4" xfId="51450" xr:uid="{00000000-0005-0000-0000-00008CBB0000}"/>
    <cellStyle name="SAPBEXheaderText 4" xfId="49435" xr:uid="{00000000-0005-0000-0000-00008DBB0000}"/>
    <cellStyle name="SAPBEXheaderText 4 2" xfId="49763" xr:uid="{00000000-0005-0000-0000-00008EBB0000}"/>
    <cellStyle name="SAPBEXheaderText 4 2 2" xfId="50234" xr:uid="{00000000-0005-0000-0000-00008FBB0000}"/>
    <cellStyle name="SAPBEXheaderText 4 2 3" xfId="51268" xr:uid="{00000000-0005-0000-0000-000090BB0000}"/>
    <cellStyle name="SAPBEXheaderText 4 3" xfId="50603" xr:uid="{00000000-0005-0000-0000-000091BB0000}"/>
    <cellStyle name="SAPBEXheaderText 4 4" xfId="51202" xr:uid="{00000000-0005-0000-0000-000092BB0000}"/>
    <cellStyle name="SAPBEXheaderText 5" xfId="49664" xr:uid="{00000000-0005-0000-0000-000093BB0000}"/>
    <cellStyle name="SAPBEXheaderText 5 2" xfId="50402" xr:uid="{00000000-0005-0000-0000-000094BB0000}"/>
    <cellStyle name="SAPBEXheaderText 5 3" xfId="51256" xr:uid="{00000000-0005-0000-0000-000095BB0000}"/>
    <cellStyle name="SAPBEXheaderText 6" xfId="50011" xr:uid="{00000000-0005-0000-0000-000096BB0000}"/>
    <cellStyle name="SAPBEXheaderText 6 2" xfId="51056" xr:uid="{00000000-0005-0000-0000-000097BB0000}"/>
    <cellStyle name="SAPBEXheaderText 6 3" xfId="51295" xr:uid="{00000000-0005-0000-0000-000098BB0000}"/>
    <cellStyle name="SAPBEXheaderText 7" xfId="50724" xr:uid="{00000000-0005-0000-0000-000099BB0000}"/>
    <cellStyle name="SAPBEXheaderText 8" xfId="51340" xr:uid="{00000000-0005-0000-0000-00009ABB0000}"/>
    <cellStyle name="SAPBEXheaderText 9" xfId="49281"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1"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4" xr:uid="{00000000-0005-0000-0000-0000B6BB0000}"/>
    <cellStyle name="SAPBEXHLevel0 2 2 2 3" xfId="51567" xr:uid="{00000000-0005-0000-0000-0000B7BB0000}"/>
    <cellStyle name="SAPBEXHLevel0 2 2 2 4" xfId="49855" xr:uid="{00000000-0005-0000-0000-0000B8BB0000}"/>
    <cellStyle name="SAPBEXHLevel0 2 2 3" xfId="46011" xr:uid="{00000000-0005-0000-0000-0000B9BB0000}"/>
    <cellStyle name="SAPBEXHLevel0 2 2 3 2" xfId="50512" xr:uid="{00000000-0005-0000-0000-0000BABB0000}"/>
    <cellStyle name="SAPBEXHLevel0 2 2 4" xfId="51480" xr:uid="{00000000-0005-0000-0000-0000BBBB0000}"/>
    <cellStyle name="SAPBEXHLevel0 2 2 5" xfId="49527"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6" xr:uid="{00000000-0005-0000-0000-0000C9BB0000}"/>
    <cellStyle name="SAPBEXHLevel0 2 3 2 3" xfId="51619" xr:uid="{00000000-0005-0000-0000-0000CABB0000}"/>
    <cellStyle name="SAPBEXHLevel0 2 3 2 4" xfId="49761" xr:uid="{00000000-0005-0000-0000-0000CBBB0000}"/>
    <cellStyle name="SAPBEXHLevel0 2 3 3" xfId="50605" xr:uid="{00000000-0005-0000-0000-0000CCBB0000}"/>
    <cellStyle name="SAPBEXHLevel0 2 3 4" xfId="51228" xr:uid="{00000000-0005-0000-0000-0000CDBB0000}"/>
    <cellStyle name="SAPBEXHLevel0 2 3 5" xfId="49433"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3" xr:uid="{00000000-0005-0000-0000-0000D2BB0000}"/>
    <cellStyle name="SAPBEXHLevel0 2 4" xfId="46027" xr:uid="{00000000-0005-0000-0000-0000D3BB0000}"/>
    <cellStyle name="SAPBEXHLevel0 2 4 2" xfId="46028" xr:uid="{00000000-0005-0000-0000-0000D4BB0000}"/>
    <cellStyle name="SAPBEXHLevel0 2 4 2 2" xfId="50400" xr:uid="{00000000-0005-0000-0000-0000D5BB0000}"/>
    <cellStyle name="SAPBEXHLevel0 2 4 3" xfId="51302" xr:uid="{00000000-0005-0000-0000-0000D6BB0000}"/>
    <cellStyle name="SAPBEXHLevel0 2 4 4" xfId="49666" xr:uid="{00000000-0005-0000-0000-0000D7BB0000}"/>
    <cellStyle name="SAPBEXHLevel0 2 5" xfId="46029" xr:uid="{00000000-0005-0000-0000-0000D8BB0000}"/>
    <cellStyle name="SAPBEXHLevel0 2 5 2" xfId="46030" xr:uid="{00000000-0005-0000-0000-0000D9BB0000}"/>
    <cellStyle name="SAPBEXHLevel0 2 5 2 2" xfId="51054" xr:uid="{00000000-0005-0000-0000-0000DABB0000}"/>
    <cellStyle name="SAPBEXHLevel0 2 5 3" xfId="51120" xr:uid="{00000000-0005-0000-0000-0000DBBB0000}"/>
    <cellStyle name="SAPBEXHLevel0 2 5 4" xfId="50009" xr:uid="{00000000-0005-0000-0000-0000DCBB0000}"/>
    <cellStyle name="SAPBEXHLevel0 2 6" xfId="46031" xr:uid="{00000000-0005-0000-0000-0000DDBB0000}"/>
    <cellStyle name="SAPBEXHLevel0 2 6 2" xfId="46032" xr:uid="{00000000-0005-0000-0000-0000DEBB0000}"/>
    <cellStyle name="SAPBEXHLevel0 2 6 3" xfId="50722" xr:uid="{00000000-0005-0000-0000-0000DFBB0000}"/>
    <cellStyle name="SAPBEXHLevel0 2 7" xfId="46033" xr:uid="{00000000-0005-0000-0000-0000E0BB0000}"/>
    <cellStyle name="SAPBEXHLevel0 2 7 2" xfId="46034" xr:uid="{00000000-0005-0000-0000-0000E1BB0000}"/>
    <cellStyle name="SAPBEXHLevel0 2 7 3" xfId="51474"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69" xr:uid="{00000000-0005-0000-0000-0000F2BB0000}"/>
    <cellStyle name="SAPBEXHLevel0 3 2 3" xfId="51310" xr:uid="{00000000-0005-0000-0000-0000F3BB0000}"/>
    <cellStyle name="SAPBEXHLevel0 3 2 4" xfId="49854" xr:uid="{00000000-0005-0000-0000-0000F4BB0000}"/>
    <cellStyle name="SAPBEXHLevel0 3 3" xfId="46050" xr:uid="{00000000-0005-0000-0000-0000F5BB0000}"/>
    <cellStyle name="SAPBEXHLevel0 3 3 2" xfId="50513" xr:uid="{00000000-0005-0000-0000-0000F6BB0000}"/>
    <cellStyle name="SAPBEXHLevel0 3 4" xfId="51224" xr:uid="{00000000-0005-0000-0000-0000F7BB0000}"/>
    <cellStyle name="SAPBEXHLevel0 3 5" xfId="49526"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2" xr:uid="{00000000-0005-0000-0000-0000FDBB0000}"/>
    <cellStyle name="SAPBEXHLevel0 4" xfId="46055" xr:uid="{00000000-0005-0000-0000-0000FEBB0000}"/>
    <cellStyle name="SAPBEXHLevel0 4 2" xfId="46056" xr:uid="{00000000-0005-0000-0000-0000FFBB0000}"/>
    <cellStyle name="SAPBEXHLevel0 4 2 2" xfId="50235" xr:uid="{00000000-0005-0000-0000-000000BC0000}"/>
    <cellStyle name="SAPBEXHLevel0 4 2 3" xfId="50814" xr:uid="{00000000-0005-0000-0000-000001BC0000}"/>
    <cellStyle name="SAPBEXHLevel0 4 2 4" xfId="49762" xr:uid="{00000000-0005-0000-0000-000002BC0000}"/>
    <cellStyle name="SAPBEXHLevel0 4 3" xfId="50604" xr:uid="{00000000-0005-0000-0000-000003BC0000}"/>
    <cellStyle name="SAPBEXHLevel0 4 4" xfId="51485" xr:uid="{00000000-0005-0000-0000-000004BC0000}"/>
    <cellStyle name="SAPBEXHLevel0 4 5" xfId="49434" xr:uid="{00000000-0005-0000-0000-000005BC0000}"/>
    <cellStyle name="SAPBEXHLevel0 5" xfId="46057" xr:uid="{00000000-0005-0000-0000-000006BC0000}"/>
    <cellStyle name="SAPBEXHLevel0 5 2" xfId="46058" xr:uid="{00000000-0005-0000-0000-000007BC0000}"/>
    <cellStyle name="SAPBEXHLevel0 5 2 2" xfId="50833" xr:uid="{00000000-0005-0000-0000-000008BC0000}"/>
    <cellStyle name="SAPBEXHLevel0 5 2 3" xfId="50747" xr:uid="{00000000-0005-0000-0000-000009BC0000}"/>
    <cellStyle name="SAPBEXHLevel0 5 2 4" xfId="49833" xr:uid="{00000000-0005-0000-0000-00000ABC0000}"/>
    <cellStyle name="SAPBEXHLevel0 5 3" xfId="50534" xr:uid="{00000000-0005-0000-0000-00000BBC0000}"/>
    <cellStyle name="SAPBEXHLevel0 5 4" xfId="51644" xr:uid="{00000000-0005-0000-0000-00000CBC0000}"/>
    <cellStyle name="SAPBEXHLevel0 5 5" xfId="49505" xr:uid="{00000000-0005-0000-0000-00000DBC0000}"/>
    <cellStyle name="SAPBEXHLevel0 6" xfId="46059" xr:uid="{00000000-0005-0000-0000-00000EBC0000}"/>
    <cellStyle name="SAPBEXHLevel0 6 2" xfId="46060" xr:uid="{00000000-0005-0000-0000-00000FBC0000}"/>
    <cellStyle name="SAPBEXHLevel0 6 2 2" xfId="50401" xr:uid="{00000000-0005-0000-0000-000010BC0000}"/>
    <cellStyle name="SAPBEXHLevel0 6 3" xfId="51513" xr:uid="{00000000-0005-0000-0000-000011BC0000}"/>
    <cellStyle name="SAPBEXHLevel0 6 4" xfId="49665" xr:uid="{00000000-0005-0000-0000-000012BC0000}"/>
    <cellStyle name="SAPBEXHLevel0 7" xfId="46061" xr:uid="{00000000-0005-0000-0000-000013BC0000}"/>
    <cellStyle name="SAPBEXHLevel0 7 2" xfId="46062" xr:uid="{00000000-0005-0000-0000-000014BC0000}"/>
    <cellStyle name="SAPBEXHLevel0 7 2 2" xfId="51055" xr:uid="{00000000-0005-0000-0000-000015BC0000}"/>
    <cellStyle name="SAPBEXHLevel0 7 3" xfId="51121" xr:uid="{00000000-0005-0000-0000-000016BC0000}"/>
    <cellStyle name="SAPBEXHLevel0 7 4" xfId="50010" xr:uid="{00000000-0005-0000-0000-000017BC0000}"/>
    <cellStyle name="SAPBEXHLevel0 8" xfId="46063" xr:uid="{00000000-0005-0000-0000-000018BC0000}"/>
    <cellStyle name="SAPBEXHLevel0 8 2" xfId="46064" xr:uid="{00000000-0005-0000-0000-000019BC0000}"/>
    <cellStyle name="SAPBEXHLevel0 8 3" xfId="50723" xr:uid="{00000000-0005-0000-0000-00001ABC0000}"/>
    <cellStyle name="SAPBEXHLevel0 9" xfId="46065" xr:uid="{00000000-0005-0000-0000-00001BBC0000}"/>
    <cellStyle name="SAPBEXHLevel0 9 2" xfId="46066" xr:uid="{00000000-0005-0000-0000-00001CBC0000}"/>
    <cellStyle name="SAPBEXHLevel0 9 3" xfId="51217"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2" xr:uid="{00000000-0005-0000-0000-000037BC0000}"/>
    <cellStyle name="SAPBEXHLevel0X 2 2 2 3" xfId="51613" xr:uid="{00000000-0005-0000-0000-000038BC0000}"/>
    <cellStyle name="SAPBEXHLevel0X 2 2 2 4" xfId="49857" xr:uid="{00000000-0005-0000-0000-000039BC0000}"/>
    <cellStyle name="SAPBEXHLevel0X 2 2 3" xfId="46091" xr:uid="{00000000-0005-0000-0000-00003ABC0000}"/>
    <cellStyle name="SAPBEXHLevel0X 2 2 3 2" xfId="50510" xr:uid="{00000000-0005-0000-0000-00003BBC0000}"/>
    <cellStyle name="SAPBEXHLevel0X 2 2 4" xfId="51642" xr:uid="{00000000-0005-0000-0000-00003CBC0000}"/>
    <cellStyle name="SAPBEXHLevel0X 2 2 5" xfId="49529"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38" xr:uid="{00000000-0005-0000-0000-00004ABC0000}"/>
    <cellStyle name="SAPBEXHLevel0X 2 3 2 3" xfId="51424" xr:uid="{00000000-0005-0000-0000-00004BBC0000}"/>
    <cellStyle name="SAPBEXHLevel0X 2 3 2 4" xfId="49759" xr:uid="{00000000-0005-0000-0000-00004CBC0000}"/>
    <cellStyle name="SAPBEXHLevel0X 2 3 3" xfId="50607" xr:uid="{00000000-0005-0000-0000-00004DBC0000}"/>
    <cellStyle name="SAPBEXHLevel0X 2 3 4" xfId="51652" xr:uid="{00000000-0005-0000-0000-00004EBC0000}"/>
    <cellStyle name="SAPBEXHLevel0X 2 3 5" xfId="49431"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5" xr:uid="{00000000-0005-0000-0000-000053BC0000}"/>
    <cellStyle name="SAPBEXHLevel0X 2 4" xfId="46107" xr:uid="{00000000-0005-0000-0000-000054BC0000}"/>
    <cellStyle name="SAPBEXHLevel0X 2 4 2" xfId="46108" xr:uid="{00000000-0005-0000-0000-000055BC0000}"/>
    <cellStyle name="SAPBEXHLevel0X 2 4 2 2" xfId="50398" xr:uid="{00000000-0005-0000-0000-000056BC0000}"/>
    <cellStyle name="SAPBEXHLevel0X 2 4 3" xfId="51374" xr:uid="{00000000-0005-0000-0000-000057BC0000}"/>
    <cellStyle name="SAPBEXHLevel0X 2 4 4" xfId="49668" xr:uid="{00000000-0005-0000-0000-000058BC0000}"/>
    <cellStyle name="SAPBEXHLevel0X 2 5" xfId="46109" xr:uid="{00000000-0005-0000-0000-000059BC0000}"/>
    <cellStyle name="SAPBEXHLevel0X 2 5 2" xfId="46110" xr:uid="{00000000-0005-0000-0000-00005ABC0000}"/>
    <cellStyle name="SAPBEXHLevel0X 2 5 2 2" xfId="51052" xr:uid="{00000000-0005-0000-0000-00005BBC0000}"/>
    <cellStyle name="SAPBEXHLevel0X 2 5 3" xfId="51412" xr:uid="{00000000-0005-0000-0000-00005CBC0000}"/>
    <cellStyle name="SAPBEXHLevel0X 2 5 4" xfId="50007" xr:uid="{00000000-0005-0000-0000-00005DBC0000}"/>
    <cellStyle name="SAPBEXHLevel0X 2 6" xfId="46111" xr:uid="{00000000-0005-0000-0000-00005EBC0000}"/>
    <cellStyle name="SAPBEXHLevel0X 2 6 2" xfId="46112" xr:uid="{00000000-0005-0000-0000-00005FBC0000}"/>
    <cellStyle name="SAPBEXHLevel0X 2 6 3" xfId="50720" xr:uid="{00000000-0005-0000-0000-000060BC0000}"/>
    <cellStyle name="SAPBEXHLevel0X 2 7" xfId="46113" xr:uid="{00000000-0005-0000-0000-000061BC0000}"/>
    <cellStyle name="SAPBEXHLevel0X 2 7 2" xfId="46114" xr:uid="{00000000-0005-0000-0000-000062BC0000}"/>
    <cellStyle name="SAPBEXHLevel0X 2 7 3" xfId="51341"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0" xr:uid="{00000000-0005-0000-0000-000072BC0000}"/>
    <cellStyle name="SAPBEXHLevel0X 3 10 2" xfId="49758" xr:uid="{00000000-0005-0000-0000-000073BC0000}"/>
    <cellStyle name="SAPBEXHLevel0X 3 10 2 2" xfId="50239" xr:uid="{00000000-0005-0000-0000-000074BC0000}"/>
    <cellStyle name="SAPBEXHLevel0X 3 10 2 3" xfId="51164" xr:uid="{00000000-0005-0000-0000-000075BC0000}"/>
    <cellStyle name="SAPBEXHLevel0X 3 10 3" xfId="50608" xr:uid="{00000000-0005-0000-0000-000076BC0000}"/>
    <cellStyle name="SAPBEXHLevel0X 3 10 4" xfId="51345" xr:uid="{00000000-0005-0000-0000-000077BC0000}"/>
    <cellStyle name="SAPBEXHLevel0X 3 11" xfId="49669" xr:uid="{00000000-0005-0000-0000-000078BC0000}"/>
    <cellStyle name="SAPBEXHLevel0X 3 11 2" xfId="50397" xr:uid="{00000000-0005-0000-0000-000079BC0000}"/>
    <cellStyle name="SAPBEXHLevel0X 3 11 3" xfId="51627" xr:uid="{00000000-0005-0000-0000-00007ABC0000}"/>
    <cellStyle name="SAPBEXHLevel0X 3 12" xfId="50006" xr:uid="{00000000-0005-0000-0000-00007BBC0000}"/>
    <cellStyle name="SAPBEXHLevel0X 3 12 2" xfId="51051" xr:uid="{00000000-0005-0000-0000-00007CBC0000}"/>
    <cellStyle name="SAPBEXHLevel0X 3 12 3" xfId="51582" xr:uid="{00000000-0005-0000-0000-00007DBC0000}"/>
    <cellStyle name="SAPBEXHLevel0X 3 13" xfId="50719" xr:uid="{00000000-0005-0000-0000-00007EBC0000}"/>
    <cellStyle name="SAPBEXHLevel0X 3 14" xfId="51656" xr:uid="{00000000-0005-0000-0000-00007FBC0000}"/>
    <cellStyle name="SAPBEXHLevel0X 3 15" xfId="49286" xr:uid="{00000000-0005-0000-0000-000080BC0000}"/>
    <cellStyle name="SAPBEXHLevel0X 3 2" xfId="46129" xr:uid="{00000000-0005-0000-0000-000081BC0000}"/>
    <cellStyle name="SAPBEXHLevel0X 3 2 2" xfId="49531" xr:uid="{00000000-0005-0000-0000-000082BC0000}"/>
    <cellStyle name="SAPBEXHLevel0X 3 2 2 2" xfId="49859" xr:uid="{00000000-0005-0000-0000-000083BC0000}"/>
    <cellStyle name="SAPBEXHLevel0X 3 2 2 2 2" xfId="50150" xr:uid="{00000000-0005-0000-0000-000084BC0000}"/>
    <cellStyle name="SAPBEXHLevel0X 3 2 2 2 3" xfId="51279" xr:uid="{00000000-0005-0000-0000-000085BC0000}"/>
    <cellStyle name="SAPBEXHLevel0X 3 2 2 3" xfId="50508" xr:uid="{00000000-0005-0000-0000-000086BC0000}"/>
    <cellStyle name="SAPBEXHLevel0X 3 2 2 4" xfId="50976" xr:uid="{00000000-0005-0000-0000-000087BC0000}"/>
    <cellStyle name="SAPBEXHLevel0X 3 2 3" xfId="49429" xr:uid="{00000000-0005-0000-0000-000088BC0000}"/>
    <cellStyle name="SAPBEXHLevel0X 3 2 3 2" xfId="49757" xr:uid="{00000000-0005-0000-0000-000089BC0000}"/>
    <cellStyle name="SAPBEXHLevel0X 3 2 3 2 2" xfId="50240" xr:uid="{00000000-0005-0000-0000-00008ABC0000}"/>
    <cellStyle name="SAPBEXHLevel0X 3 2 3 2 3" xfId="51525" xr:uid="{00000000-0005-0000-0000-00008BBC0000}"/>
    <cellStyle name="SAPBEXHLevel0X 3 2 3 3" xfId="50609" xr:uid="{00000000-0005-0000-0000-00008CBC0000}"/>
    <cellStyle name="SAPBEXHLevel0X 3 2 3 4" xfId="51561" xr:uid="{00000000-0005-0000-0000-00008DBC0000}"/>
    <cellStyle name="SAPBEXHLevel0X 3 2 4" xfId="49670" xr:uid="{00000000-0005-0000-0000-00008EBC0000}"/>
    <cellStyle name="SAPBEXHLevel0X 3 2 4 2" xfId="50396" xr:uid="{00000000-0005-0000-0000-00008FBC0000}"/>
    <cellStyle name="SAPBEXHLevel0X 3 2 4 3" xfId="50809" xr:uid="{00000000-0005-0000-0000-000090BC0000}"/>
    <cellStyle name="SAPBEXHLevel0X 3 2 5" xfId="50005" xr:uid="{00000000-0005-0000-0000-000091BC0000}"/>
    <cellStyle name="SAPBEXHLevel0X 3 2 5 2" xfId="51050" xr:uid="{00000000-0005-0000-0000-000092BC0000}"/>
    <cellStyle name="SAPBEXHLevel0X 3 2 5 3" xfId="51325" xr:uid="{00000000-0005-0000-0000-000093BC0000}"/>
    <cellStyle name="SAPBEXHLevel0X 3 2 6" xfId="50718" xr:uid="{00000000-0005-0000-0000-000094BC0000}"/>
    <cellStyle name="SAPBEXHLevel0X 3 2 7" xfId="50654" xr:uid="{00000000-0005-0000-0000-000095BC0000}"/>
    <cellStyle name="SAPBEXHLevel0X 3 2 8" xfId="49287" xr:uid="{00000000-0005-0000-0000-000096BC0000}"/>
    <cellStyle name="SAPBEXHLevel0X 3 3" xfId="46130" xr:uid="{00000000-0005-0000-0000-000097BC0000}"/>
    <cellStyle name="SAPBEXHLevel0X 3 3 2" xfId="49532" xr:uid="{00000000-0005-0000-0000-000098BC0000}"/>
    <cellStyle name="SAPBEXHLevel0X 3 3 2 2" xfId="49860" xr:uid="{00000000-0005-0000-0000-000099BC0000}"/>
    <cellStyle name="SAPBEXHLevel0X 3 3 2 2 2" xfId="50149" xr:uid="{00000000-0005-0000-0000-00009ABC0000}"/>
    <cellStyle name="SAPBEXHLevel0X 3 3 2 2 3" xfId="51537" xr:uid="{00000000-0005-0000-0000-00009BBC0000}"/>
    <cellStyle name="SAPBEXHLevel0X 3 3 2 3" xfId="50507" xr:uid="{00000000-0005-0000-0000-00009CBC0000}"/>
    <cellStyle name="SAPBEXHLevel0X 3 3 2 4" xfId="51241" xr:uid="{00000000-0005-0000-0000-00009DBC0000}"/>
    <cellStyle name="SAPBEXHLevel0X 3 3 3" xfId="49428" xr:uid="{00000000-0005-0000-0000-00009EBC0000}"/>
    <cellStyle name="SAPBEXHLevel0X 3 3 3 2" xfId="49756" xr:uid="{00000000-0005-0000-0000-00009FBC0000}"/>
    <cellStyle name="SAPBEXHLevel0X 3 3 3 2 2" xfId="50241" xr:uid="{00000000-0005-0000-0000-0000A0BC0000}"/>
    <cellStyle name="SAPBEXHLevel0X 3 3 3 2 3" xfId="51267" xr:uid="{00000000-0005-0000-0000-0000A1BC0000}"/>
    <cellStyle name="SAPBEXHLevel0X 3 3 3 3" xfId="50610" xr:uid="{00000000-0005-0000-0000-0000A2BC0000}"/>
    <cellStyle name="SAPBEXHLevel0X 3 3 3 4" xfId="51304" xr:uid="{00000000-0005-0000-0000-0000A3BC0000}"/>
    <cellStyle name="SAPBEXHLevel0X 3 3 4" xfId="49671" xr:uid="{00000000-0005-0000-0000-0000A4BC0000}"/>
    <cellStyle name="SAPBEXHLevel0X 3 3 4 2" xfId="50395" xr:uid="{00000000-0005-0000-0000-0000A5BC0000}"/>
    <cellStyle name="SAPBEXHLevel0X 3 3 4 3" xfId="51257" xr:uid="{00000000-0005-0000-0000-0000A6BC0000}"/>
    <cellStyle name="SAPBEXHLevel0X 3 3 5" xfId="50004" xr:uid="{00000000-0005-0000-0000-0000A7BC0000}"/>
    <cellStyle name="SAPBEXHLevel0X 3 3 5 2" xfId="51049" xr:uid="{00000000-0005-0000-0000-0000A8BC0000}"/>
    <cellStyle name="SAPBEXHLevel0X 3 3 5 3" xfId="51552" xr:uid="{00000000-0005-0000-0000-0000A9BC0000}"/>
    <cellStyle name="SAPBEXHLevel0X 3 3 6" xfId="50717" xr:uid="{00000000-0005-0000-0000-0000AABC0000}"/>
    <cellStyle name="SAPBEXHLevel0X 3 3 7" xfId="50869" xr:uid="{00000000-0005-0000-0000-0000ABBC0000}"/>
    <cellStyle name="SAPBEXHLevel0X 3 3 8" xfId="49288" xr:uid="{00000000-0005-0000-0000-0000ACBC0000}"/>
    <cellStyle name="SAPBEXHLevel0X 3 4" xfId="49289" xr:uid="{00000000-0005-0000-0000-0000ADBC0000}"/>
    <cellStyle name="SAPBEXHLevel0X 3 4 2" xfId="49533" xr:uid="{00000000-0005-0000-0000-0000AEBC0000}"/>
    <cellStyle name="SAPBEXHLevel0X 3 4 2 2" xfId="49861" xr:uid="{00000000-0005-0000-0000-0000AFBC0000}"/>
    <cellStyle name="SAPBEXHLevel0X 3 4 2 2 2" xfId="50148" xr:uid="{00000000-0005-0000-0000-0000B0BC0000}"/>
    <cellStyle name="SAPBEXHLevel0X 3 4 2 2 3" xfId="51311" xr:uid="{00000000-0005-0000-0000-0000B1BC0000}"/>
    <cellStyle name="SAPBEXHLevel0X 3 4 2 3" xfId="50506" xr:uid="{00000000-0005-0000-0000-0000B2BC0000}"/>
    <cellStyle name="SAPBEXHLevel0X 3 4 2 4" xfId="51498" xr:uid="{00000000-0005-0000-0000-0000B3BC0000}"/>
    <cellStyle name="SAPBEXHLevel0X 3 4 3" xfId="49427" xr:uid="{00000000-0005-0000-0000-0000B4BC0000}"/>
    <cellStyle name="SAPBEXHLevel0X 3 4 3 2" xfId="49755" xr:uid="{00000000-0005-0000-0000-0000B5BC0000}"/>
    <cellStyle name="SAPBEXHLevel0X 3 4 3 2 2" xfId="50242" xr:uid="{00000000-0005-0000-0000-0000B6BC0000}"/>
    <cellStyle name="SAPBEXHLevel0X 3 4 3 2 3" xfId="50644" xr:uid="{00000000-0005-0000-0000-0000B7BC0000}"/>
    <cellStyle name="SAPBEXHLevel0X 3 4 3 3" xfId="50611" xr:uid="{00000000-0005-0000-0000-0000B8BC0000}"/>
    <cellStyle name="SAPBEXHLevel0X 3 4 3 4" xfId="51461" xr:uid="{00000000-0005-0000-0000-0000B9BC0000}"/>
    <cellStyle name="SAPBEXHLevel0X 3 4 4" xfId="49672" xr:uid="{00000000-0005-0000-0000-0000BABC0000}"/>
    <cellStyle name="SAPBEXHLevel0X 3 4 4 2" xfId="50059" xr:uid="{00000000-0005-0000-0000-0000BBBC0000}"/>
    <cellStyle name="SAPBEXHLevel0X 3 4 4 3" xfId="51514" xr:uid="{00000000-0005-0000-0000-0000BCBC0000}"/>
    <cellStyle name="SAPBEXHLevel0X 3 4 5" xfId="50003" xr:uid="{00000000-0005-0000-0000-0000BDBC0000}"/>
    <cellStyle name="SAPBEXHLevel0X 3 4 5 2" xfId="51048" xr:uid="{00000000-0005-0000-0000-0000BEBC0000}"/>
    <cellStyle name="SAPBEXHLevel0X 3 4 5 3" xfId="51294" xr:uid="{00000000-0005-0000-0000-0000BFBC0000}"/>
    <cellStyle name="SAPBEXHLevel0X 3 4 6" xfId="50716" xr:uid="{00000000-0005-0000-0000-0000C0BC0000}"/>
    <cellStyle name="SAPBEXHLevel0X 3 4 7" xfId="50943" xr:uid="{00000000-0005-0000-0000-0000C1BC0000}"/>
    <cellStyle name="SAPBEXHLevel0X 3 5" xfId="49290" xr:uid="{00000000-0005-0000-0000-0000C2BC0000}"/>
    <cellStyle name="SAPBEXHLevel0X 3 5 2" xfId="49534" xr:uid="{00000000-0005-0000-0000-0000C3BC0000}"/>
    <cellStyle name="SAPBEXHLevel0X 3 5 2 2" xfId="49862" xr:uid="{00000000-0005-0000-0000-0000C4BC0000}"/>
    <cellStyle name="SAPBEXHLevel0X 3 5 2 2 2" xfId="50147" xr:uid="{00000000-0005-0000-0000-0000C5BC0000}"/>
    <cellStyle name="SAPBEXHLevel0X 3 5 2 2 3" xfId="51568" xr:uid="{00000000-0005-0000-0000-0000C6BC0000}"/>
    <cellStyle name="SAPBEXHLevel0X 3 5 2 3" xfId="50505" xr:uid="{00000000-0005-0000-0000-0000C7BC0000}"/>
    <cellStyle name="SAPBEXHLevel0X 3 5 2 4" xfId="51189" xr:uid="{00000000-0005-0000-0000-0000C8BC0000}"/>
    <cellStyle name="SAPBEXHLevel0X 3 5 3" xfId="49426" xr:uid="{00000000-0005-0000-0000-0000C9BC0000}"/>
    <cellStyle name="SAPBEXHLevel0X 3 5 3 2" xfId="49754" xr:uid="{00000000-0005-0000-0000-0000CABC0000}"/>
    <cellStyle name="SAPBEXHLevel0X 3 5 3 2 2" xfId="50243" xr:uid="{00000000-0005-0000-0000-0000CBBC0000}"/>
    <cellStyle name="SAPBEXHLevel0X 3 5 3 2 3" xfId="51659" xr:uid="{00000000-0005-0000-0000-0000CCBC0000}"/>
    <cellStyle name="SAPBEXHLevel0X 3 5 3 3" xfId="50612" xr:uid="{00000000-0005-0000-0000-0000CDBC0000}"/>
    <cellStyle name="SAPBEXHLevel0X 3 5 3 4" xfId="51203" xr:uid="{00000000-0005-0000-0000-0000CEBC0000}"/>
    <cellStyle name="SAPBEXHLevel0X 3 5 4" xfId="49673" xr:uid="{00000000-0005-0000-0000-0000CFBC0000}"/>
    <cellStyle name="SAPBEXHLevel0X 3 5 4 2" xfId="50371" xr:uid="{00000000-0005-0000-0000-0000D0BC0000}"/>
    <cellStyle name="SAPBEXHLevel0X 3 5 4 3" xfId="51174" xr:uid="{00000000-0005-0000-0000-0000D1BC0000}"/>
    <cellStyle name="SAPBEXHLevel0X 3 5 5" xfId="49962" xr:uid="{00000000-0005-0000-0000-0000D2BC0000}"/>
    <cellStyle name="SAPBEXHLevel0X 3 5 5 2" xfId="51007" xr:uid="{00000000-0005-0000-0000-0000D3BC0000}"/>
    <cellStyle name="SAPBEXHLevel0X 3 5 5 3" xfId="51329" xr:uid="{00000000-0005-0000-0000-0000D4BC0000}"/>
    <cellStyle name="SAPBEXHLevel0X 3 5 6" xfId="50715" xr:uid="{00000000-0005-0000-0000-0000D5BC0000}"/>
    <cellStyle name="SAPBEXHLevel0X 3 5 7" xfId="50883" xr:uid="{00000000-0005-0000-0000-0000D6BC0000}"/>
    <cellStyle name="SAPBEXHLevel0X 3 6" xfId="49291" xr:uid="{00000000-0005-0000-0000-0000D7BC0000}"/>
    <cellStyle name="SAPBEXHLevel0X 3 6 2" xfId="49535" xr:uid="{00000000-0005-0000-0000-0000D8BC0000}"/>
    <cellStyle name="SAPBEXHLevel0X 3 6 2 2" xfId="49863" xr:uid="{00000000-0005-0000-0000-0000D9BC0000}"/>
    <cellStyle name="SAPBEXHLevel0X 3 6 2 2 2" xfId="50146" xr:uid="{00000000-0005-0000-0000-0000DABC0000}"/>
    <cellStyle name="SAPBEXHLevel0X 3 6 2 2 3" xfId="51398" xr:uid="{00000000-0005-0000-0000-0000DBBC0000}"/>
    <cellStyle name="SAPBEXHLevel0X 3 6 2 3" xfId="50504" xr:uid="{00000000-0005-0000-0000-0000DCBC0000}"/>
    <cellStyle name="SAPBEXHLevel0X 3 6 2 4" xfId="51447" xr:uid="{00000000-0005-0000-0000-0000DDBC0000}"/>
    <cellStyle name="SAPBEXHLevel0X 3 6 3" xfId="49425" xr:uid="{00000000-0005-0000-0000-0000DEBC0000}"/>
    <cellStyle name="SAPBEXHLevel0X 3 6 3 2" xfId="49753" xr:uid="{00000000-0005-0000-0000-0000DFBC0000}"/>
    <cellStyle name="SAPBEXHLevel0X 3 6 3 2 2" xfId="50244" xr:uid="{00000000-0005-0000-0000-0000E0BC0000}"/>
    <cellStyle name="SAPBEXHLevel0X 3 6 3 2 3" xfId="51385" xr:uid="{00000000-0005-0000-0000-0000E1BC0000}"/>
    <cellStyle name="SAPBEXHLevel0X 3 6 3 3" xfId="50613" xr:uid="{00000000-0005-0000-0000-0000E2BC0000}"/>
    <cellStyle name="SAPBEXHLevel0X 3 6 3 4" xfId="51484" xr:uid="{00000000-0005-0000-0000-0000E3BC0000}"/>
    <cellStyle name="SAPBEXHLevel0X 3 6 4" xfId="49674" xr:uid="{00000000-0005-0000-0000-0000E4BC0000}"/>
    <cellStyle name="SAPBEXHLevel0X 3 6 4 2" xfId="50345" xr:uid="{00000000-0005-0000-0000-0000E5BC0000}"/>
    <cellStyle name="SAPBEXHLevel0X 3 6 4 3" xfId="51433" xr:uid="{00000000-0005-0000-0000-0000E6BC0000}"/>
    <cellStyle name="SAPBEXHLevel0X 3 6 5" xfId="50002" xr:uid="{00000000-0005-0000-0000-0000E7BC0000}"/>
    <cellStyle name="SAPBEXHLevel0X 3 6 5 2" xfId="51047" xr:uid="{00000000-0005-0000-0000-0000E8BC0000}"/>
    <cellStyle name="SAPBEXHLevel0X 3 6 5 3" xfId="51119" xr:uid="{00000000-0005-0000-0000-0000E9BC0000}"/>
    <cellStyle name="SAPBEXHLevel0X 3 6 6" xfId="50714" xr:uid="{00000000-0005-0000-0000-0000EABC0000}"/>
    <cellStyle name="SAPBEXHLevel0X 3 6 7" xfId="50954" xr:uid="{00000000-0005-0000-0000-0000EBBC0000}"/>
    <cellStyle name="SAPBEXHLevel0X 3 7" xfId="49292" xr:uid="{00000000-0005-0000-0000-0000ECBC0000}"/>
    <cellStyle name="SAPBEXHLevel0X 3 7 2" xfId="49536" xr:uid="{00000000-0005-0000-0000-0000EDBC0000}"/>
    <cellStyle name="SAPBEXHLevel0X 3 7 2 2" xfId="49864" xr:uid="{00000000-0005-0000-0000-0000EEBC0000}"/>
    <cellStyle name="SAPBEXHLevel0X 3 7 2 2 2" xfId="50145" xr:uid="{00000000-0005-0000-0000-0000EFBC0000}"/>
    <cellStyle name="SAPBEXHLevel0X 3 7 2 2 3" xfId="51612" xr:uid="{00000000-0005-0000-0000-0000F0BC0000}"/>
    <cellStyle name="SAPBEXHLevel0X 3 7 2 3" xfId="50503" xr:uid="{00000000-0005-0000-0000-0000F1BC0000}"/>
    <cellStyle name="SAPBEXHLevel0X 3 7 2 4" xfId="51359" xr:uid="{00000000-0005-0000-0000-0000F2BC0000}"/>
    <cellStyle name="SAPBEXHLevel0X 3 7 3" xfId="49424" xr:uid="{00000000-0005-0000-0000-0000F3BC0000}"/>
    <cellStyle name="SAPBEXHLevel0X 3 7 3 2" xfId="49752" xr:uid="{00000000-0005-0000-0000-0000F4BC0000}"/>
    <cellStyle name="SAPBEXHLevel0X 3 7 3 2 2" xfId="50245" xr:uid="{00000000-0005-0000-0000-0000F5BC0000}"/>
    <cellStyle name="SAPBEXHLevel0X 3 7 3 2 3" xfId="51425" xr:uid="{00000000-0005-0000-0000-0000F6BC0000}"/>
    <cellStyle name="SAPBEXHLevel0X 3 7 3 3" xfId="50614" xr:uid="{00000000-0005-0000-0000-0000F7BC0000}"/>
    <cellStyle name="SAPBEXHLevel0X 3 7 3 4" xfId="51227" xr:uid="{00000000-0005-0000-0000-0000F8BC0000}"/>
    <cellStyle name="SAPBEXHLevel0X 3 7 4" xfId="49675" xr:uid="{00000000-0005-0000-0000-0000F9BC0000}"/>
    <cellStyle name="SAPBEXHLevel0X 3 7 4 2" xfId="50344" xr:uid="{00000000-0005-0000-0000-0000FABC0000}"/>
    <cellStyle name="SAPBEXHLevel0X 3 7 4 3" xfId="51375" xr:uid="{00000000-0005-0000-0000-0000FBBC0000}"/>
    <cellStyle name="SAPBEXHLevel0X 3 7 5" xfId="50001" xr:uid="{00000000-0005-0000-0000-0000FCBC0000}"/>
    <cellStyle name="SAPBEXHLevel0X 3 7 5 2" xfId="51046" xr:uid="{00000000-0005-0000-0000-0000FDBC0000}"/>
    <cellStyle name="SAPBEXHLevel0X 3 7 5 3" xfId="51604" xr:uid="{00000000-0005-0000-0000-0000FEBC0000}"/>
    <cellStyle name="SAPBEXHLevel0X 3 7 6" xfId="50713" xr:uid="{00000000-0005-0000-0000-0000FFBC0000}"/>
    <cellStyle name="SAPBEXHLevel0X 3 7 7" xfId="50907" xr:uid="{00000000-0005-0000-0000-000000BD0000}"/>
    <cellStyle name="SAPBEXHLevel0X 3 8" xfId="49293" xr:uid="{00000000-0005-0000-0000-000001BD0000}"/>
    <cellStyle name="SAPBEXHLevel0X 3 8 2" xfId="49537" xr:uid="{00000000-0005-0000-0000-000002BD0000}"/>
    <cellStyle name="SAPBEXHLevel0X 3 8 2 2" xfId="49865" xr:uid="{00000000-0005-0000-0000-000003BD0000}"/>
    <cellStyle name="SAPBEXHLevel0X 3 8 2 2 2" xfId="50144" xr:uid="{00000000-0005-0000-0000-000004BD0000}"/>
    <cellStyle name="SAPBEXHLevel0X 3 8 2 2 3" xfId="50961" xr:uid="{00000000-0005-0000-0000-000005BD0000}"/>
    <cellStyle name="SAPBEXHLevel0X 3 8 2 3" xfId="50502" xr:uid="{00000000-0005-0000-0000-000006BD0000}"/>
    <cellStyle name="SAPBEXHLevel0X 3 8 2 4" xfId="51639" xr:uid="{00000000-0005-0000-0000-000007BD0000}"/>
    <cellStyle name="SAPBEXHLevel0X 3 8 3" xfId="49423" xr:uid="{00000000-0005-0000-0000-000008BD0000}"/>
    <cellStyle name="SAPBEXHLevel0X 3 8 3 2" xfId="49751" xr:uid="{00000000-0005-0000-0000-000009BD0000}"/>
    <cellStyle name="SAPBEXHLevel0X 3 8 3 2 2" xfId="50246" xr:uid="{00000000-0005-0000-0000-00000ABD0000}"/>
    <cellStyle name="SAPBEXHLevel0X 3 8 3 2 3" xfId="51165" xr:uid="{00000000-0005-0000-0000-00000BBD0000}"/>
    <cellStyle name="SAPBEXHLevel0X 3 8 3 3" xfId="50615" xr:uid="{00000000-0005-0000-0000-00000CBD0000}"/>
    <cellStyle name="SAPBEXHLevel0X 3 8 3 4" xfId="50895" xr:uid="{00000000-0005-0000-0000-00000DBD0000}"/>
    <cellStyle name="SAPBEXHLevel0X 3 8 4" xfId="49676" xr:uid="{00000000-0005-0000-0000-00000EBD0000}"/>
    <cellStyle name="SAPBEXHLevel0X 3 8 4 2" xfId="50343" xr:uid="{00000000-0005-0000-0000-00000FBD0000}"/>
    <cellStyle name="SAPBEXHLevel0X 3 8 4 3" xfId="51626" xr:uid="{00000000-0005-0000-0000-000010BD0000}"/>
    <cellStyle name="SAPBEXHLevel0X 3 8 5" xfId="50047" xr:uid="{00000000-0005-0000-0000-000011BD0000}"/>
    <cellStyle name="SAPBEXHLevel0X 3 8 5 2" xfId="51091" xr:uid="{00000000-0005-0000-0000-000012BD0000}"/>
    <cellStyle name="SAPBEXHLevel0X 3 8 5 3" xfId="51585" xr:uid="{00000000-0005-0000-0000-000013BD0000}"/>
    <cellStyle name="SAPBEXHLevel0X 3 8 6" xfId="50712" xr:uid="{00000000-0005-0000-0000-000014BD0000}"/>
    <cellStyle name="SAPBEXHLevel0X 3 8 7" xfId="50970" xr:uid="{00000000-0005-0000-0000-000015BD0000}"/>
    <cellStyle name="SAPBEXHLevel0X 3 9" xfId="49530" xr:uid="{00000000-0005-0000-0000-000016BD0000}"/>
    <cellStyle name="SAPBEXHLevel0X 3 9 2" xfId="49858" xr:uid="{00000000-0005-0000-0000-000017BD0000}"/>
    <cellStyle name="SAPBEXHLevel0X 3 9 2 2" xfId="50151" xr:uid="{00000000-0005-0000-0000-000018BD0000}"/>
    <cellStyle name="SAPBEXHLevel0X 3 9 2 3" xfId="50890" xr:uid="{00000000-0005-0000-0000-000019BD0000}"/>
    <cellStyle name="SAPBEXHLevel0X 3 9 3" xfId="50509" xr:uid="{00000000-0005-0000-0000-00001ABD0000}"/>
    <cellStyle name="SAPBEXHLevel0X 3 9 4" xfId="50910"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4" xr:uid="{00000000-0005-0000-0000-000020BD0000}"/>
    <cellStyle name="SAPBEXHLevel0X 4" xfId="46135" xr:uid="{00000000-0005-0000-0000-000021BD0000}"/>
    <cellStyle name="SAPBEXHLevel0X 4 2" xfId="46136" xr:uid="{00000000-0005-0000-0000-000022BD0000}"/>
    <cellStyle name="SAPBEXHLevel0X 4 2 2" xfId="50153" xr:uid="{00000000-0005-0000-0000-000023BD0000}"/>
    <cellStyle name="SAPBEXHLevel0X 4 2 3" xfId="51397" xr:uid="{00000000-0005-0000-0000-000024BD0000}"/>
    <cellStyle name="SAPBEXHLevel0X 4 2 4" xfId="49856" xr:uid="{00000000-0005-0000-0000-000025BD0000}"/>
    <cellStyle name="SAPBEXHLevel0X 4 3" xfId="50511" xr:uid="{00000000-0005-0000-0000-000026BD0000}"/>
    <cellStyle name="SAPBEXHLevel0X 4 4" xfId="51356" xr:uid="{00000000-0005-0000-0000-000027BD0000}"/>
    <cellStyle name="SAPBEXHLevel0X 4 5" xfId="49528" xr:uid="{00000000-0005-0000-0000-000028BD0000}"/>
    <cellStyle name="SAPBEXHLevel0X 5" xfId="46137" xr:uid="{00000000-0005-0000-0000-000029BD0000}"/>
    <cellStyle name="SAPBEXHLevel0X 5 2" xfId="46138" xr:uid="{00000000-0005-0000-0000-00002ABD0000}"/>
    <cellStyle name="SAPBEXHLevel0X 5 2 2" xfId="50237" xr:uid="{00000000-0005-0000-0000-00002BBD0000}"/>
    <cellStyle name="SAPBEXHLevel0X 5 2 3" xfId="51386" xr:uid="{00000000-0005-0000-0000-00002CBD0000}"/>
    <cellStyle name="SAPBEXHLevel0X 5 2 4" xfId="49760" xr:uid="{00000000-0005-0000-0000-00002DBD0000}"/>
    <cellStyle name="SAPBEXHLevel0X 5 3" xfId="50606" xr:uid="{00000000-0005-0000-0000-00002EBD0000}"/>
    <cellStyle name="SAPBEXHLevel0X 5 4" xfId="50966" xr:uid="{00000000-0005-0000-0000-00002FBD0000}"/>
    <cellStyle name="SAPBEXHLevel0X 5 5" xfId="49432" xr:uid="{00000000-0005-0000-0000-000030BD0000}"/>
    <cellStyle name="SAPBEXHLevel0X 6" xfId="46139" xr:uid="{00000000-0005-0000-0000-000031BD0000}"/>
    <cellStyle name="SAPBEXHLevel0X 6 2" xfId="46140" xr:uid="{00000000-0005-0000-0000-000032BD0000}"/>
    <cellStyle name="SAPBEXHLevel0X 6 2 2" xfId="50399" xr:uid="{00000000-0005-0000-0000-000033BD0000}"/>
    <cellStyle name="SAPBEXHLevel0X 6 3" xfId="51559" xr:uid="{00000000-0005-0000-0000-000034BD0000}"/>
    <cellStyle name="SAPBEXHLevel0X 6 4" xfId="49667" xr:uid="{00000000-0005-0000-0000-000035BD0000}"/>
    <cellStyle name="SAPBEXHLevel0X 7" xfId="46141" xr:uid="{00000000-0005-0000-0000-000036BD0000}"/>
    <cellStyle name="SAPBEXHLevel0X 7 2" xfId="46142" xr:uid="{00000000-0005-0000-0000-000037BD0000}"/>
    <cellStyle name="SAPBEXHLevel0X 7 2 2" xfId="51053" xr:uid="{00000000-0005-0000-0000-000038BD0000}"/>
    <cellStyle name="SAPBEXHLevel0X 7 3" xfId="51603" xr:uid="{00000000-0005-0000-0000-000039BD0000}"/>
    <cellStyle name="SAPBEXHLevel0X 7 4" xfId="50008" xr:uid="{00000000-0005-0000-0000-00003ABD0000}"/>
    <cellStyle name="SAPBEXHLevel0X 8" xfId="46143" xr:uid="{00000000-0005-0000-0000-00003BBD0000}"/>
    <cellStyle name="SAPBEXHLevel0X 8 2" xfId="46144" xr:uid="{00000000-0005-0000-0000-00003CBD0000}"/>
    <cellStyle name="SAPBEXHLevel0X 8 3" xfId="50721" xr:uid="{00000000-0005-0000-0000-00003DBD0000}"/>
    <cellStyle name="SAPBEXHLevel0X 9" xfId="46145" xr:uid="{00000000-0005-0000-0000-00003EBD0000}"/>
    <cellStyle name="SAPBEXHLevel0X 9 2" xfId="46146" xr:uid="{00000000-0005-0000-0000-00003FBD0000}"/>
    <cellStyle name="SAPBEXHLevel0X 9 3" xfId="51465"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38"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2" xr:uid="{00000000-0005-0000-0000-00005BBD0000}"/>
    <cellStyle name="SAPBEXHLevel1 2 2 2 3" xfId="51538" xr:uid="{00000000-0005-0000-0000-00005CBD0000}"/>
    <cellStyle name="SAPBEXHLevel1 2 2 2 4" xfId="49867" xr:uid="{00000000-0005-0000-0000-00005DBD0000}"/>
    <cellStyle name="SAPBEXHLevel1 2 2 3" xfId="46171" xr:uid="{00000000-0005-0000-0000-00005EBD0000}"/>
    <cellStyle name="SAPBEXHLevel1 2 2 3 2" xfId="50500" xr:uid="{00000000-0005-0000-0000-00005FBD0000}"/>
    <cellStyle name="SAPBEXHLevel1 2 2 4" xfId="51188" xr:uid="{00000000-0005-0000-0000-000060BD0000}"/>
    <cellStyle name="SAPBEXHLevel1 2 2 5" xfId="49539"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48" xr:uid="{00000000-0005-0000-0000-00006EBD0000}"/>
    <cellStyle name="SAPBEXHLevel1 2 3 2 3" xfId="51266" xr:uid="{00000000-0005-0000-0000-00006FBD0000}"/>
    <cellStyle name="SAPBEXHLevel1 2 3 2 4" xfId="49749" xr:uid="{00000000-0005-0000-0000-000070BD0000}"/>
    <cellStyle name="SAPBEXHLevel1 2 3 3" xfId="50617" xr:uid="{00000000-0005-0000-0000-000071BD0000}"/>
    <cellStyle name="SAPBEXHLevel1 2 3 4" xfId="51344" xr:uid="{00000000-0005-0000-0000-000072BD0000}"/>
    <cellStyle name="SAPBEXHLevel1 2 3 5" xfId="49421"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5" xr:uid="{00000000-0005-0000-0000-000077BD0000}"/>
    <cellStyle name="SAPBEXHLevel1 2 4" xfId="46187" xr:uid="{00000000-0005-0000-0000-000078BD0000}"/>
    <cellStyle name="SAPBEXHLevel1 2 4 2" xfId="46188" xr:uid="{00000000-0005-0000-0000-000079BD0000}"/>
    <cellStyle name="SAPBEXHLevel1 2 4 2 2" xfId="50341" xr:uid="{00000000-0005-0000-0000-00007ABD0000}"/>
    <cellStyle name="SAPBEXHLevel1 2 4 3" xfId="51258" xr:uid="{00000000-0005-0000-0000-00007BBD0000}"/>
    <cellStyle name="SAPBEXHLevel1 2 4 4" xfId="49678" xr:uid="{00000000-0005-0000-0000-00007CBD0000}"/>
    <cellStyle name="SAPBEXHLevel1 2 5" xfId="46189" xr:uid="{00000000-0005-0000-0000-00007DBD0000}"/>
    <cellStyle name="SAPBEXHLevel1 2 5 2" xfId="46190" xr:uid="{00000000-0005-0000-0000-00007EBD0000}"/>
    <cellStyle name="SAPBEXHLevel1 2 5 2 2" xfId="51044" xr:uid="{00000000-0005-0000-0000-00007FBD0000}"/>
    <cellStyle name="SAPBEXHLevel1 2 5 3" xfId="51581" xr:uid="{00000000-0005-0000-0000-000080BD0000}"/>
    <cellStyle name="SAPBEXHLevel1 2 5 4" xfId="49999" xr:uid="{00000000-0005-0000-0000-000081BD0000}"/>
    <cellStyle name="SAPBEXHLevel1 2 6" xfId="46191" xr:uid="{00000000-0005-0000-0000-000082BD0000}"/>
    <cellStyle name="SAPBEXHLevel1 2 6 2" xfId="46192" xr:uid="{00000000-0005-0000-0000-000083BD0000}"/>
    <cellStyle name="SAPBEXHLevel1 2 6 3" xfId="50710" xr:uid="{00000000-0005-0000-0000-000084BD0000}"/>
    <cellStyle name="SAPBEXHLevel1 2 7" xfId="46193" xr:uid="{00000000-0005-0000-0000-000085BD0000}"/>
    <cellStyle name="SAPBEXHLevel1 2 7 2" xfId="46194" xr:uid="{00000000-0005-0000-0000-000086BD0000}"/>
    <cellStyle name="SAPBEXHLevel1 2 7 3" xfId="51140"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3" xr:uid="{00000000-0005-0000-0000-000097BD0000}"/>
    <cellStyle name="SAPBEXHLevel1 3 2 3" xfId="51280" xr:uid="{00000000-0005-0000-0000-000098BD0000}"/>
    <cellStyle name="SAPBEXHLevel1 3 2 4" xfId="49866" xr:uid="{00000000-0005-0000-0000-000099BD0000}"/>
    <cellStyle name="SAPBEXHLevel1 3 3" xfId="46210" xr:uid="{00000000-0005-0000-0000-00009ABD0000}"/>
    <cellStyle name="SAPBEXHLevel1 3 3 2" xfId="50501" xr:uid="{00000000-0005-0000-0000-00009BBD0000}"/>
    <cellStyle name="SAPBEXHLevel1 3 4" xfId="50807" xr:uid="{00000000-0005-0000-0000-00009CBD0000}"/>
    <cellStyle name="SAPBEXHLevel1 3 5" xfId="49538"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4" xr:uid="{00000000-0005-0000-0000-0000A2BD0000}"/>
    <cellStyle name="SAPBEXHLevel1 4" xfId="46215" xr:uid="{00000000-0005-0000-0000-0000A3BD0000}"/>
    <cellStyle name="SAPBEXHLevel1 4 2" xfId="46216" xr:uid="{00000000-0005-0000-0000-0000A4BD0000}"/>
    <cellStyle name="SAPBEXHLevel1 4 2 2" xfId="50247" xr:uid="{00000000-0005-0000-0000-0000A5BD0000}"/>
    <cellStyle name="SAPBEXHLevel1 4 2 3" xfId="51524" xr:uid="{00000000-0005-0000-0000-0000A6BD0000}"/>
    <cellStyle name="SAPBEXHLevel1 4 2 4" xfId="49750" xr:uid="{00000000-0005-0000-0000-0000A7BD0000}"/>
    <cellStyle name="SAPBEXHLevel1 4 3" xfId="50616" xr:uid="{00000000-0005-0000-0000-0000A8BD0000}"/>
    <cellStyle name="SAPBEXHLevel1 4 4" xfId="51653" xr:uid="{00000000-0005-0000-0000-0000A9BD0000}"/>
    <cellStyle name="SAPBEXHLevel1 4 5" xfId="49422" xr:uid="{00000000-0005-0000-0000-0000AABD0000}"/>
    <cellStyle name="SAPBEXHLevel1 5" xfId="46217" xr:uid="{00000000-0005-0000-0000-0000ABBD0000}"/>
    <cellStyle name="SAPBEXHLevel1 5 2" xfId="46218" xr:uid="{00000000-0005-0000-0000-0000ACBD0000}"/>
    <cellStyle name="SAPBEXHLevel1 5 2 2" xfId="50087" xr:uid="{00000000-0005-0000-0000-0000ADBD0000}"/>
    <cellStyle name="SAPBEXHLevel1 5 2 3" xfId="51108" xr:uid="{00000000-0005-0000-0000-0000AEBD0000}"/>
    <cellStyle name="SAPBEXHLevel1 5 2 4" xfId="49924" xr:uid="{00000000-0005-0000-0000-0000AFBD0000}"/>
    <cellStyle name="SAPBEXHLevel1 5 3" xfId="50443" xr:uid="{00000000-0005-0000-0000-0000B0BD0000}"/>
    <cellStyle name="SAPBEXHLevel1 5 4" xfId="51190" xr:uid="{00000000-0005-0000-0000-0000B1BD0000}"/>
    <cellStyle name="SAPBEXHLevel1 5 5" xfId="49596" xr:uid="{00000000-0005-0000-0000-0000B2BD0000}"/>
    <cellStyle name="SAPBEXHLevel1 6" xfId="46219" xr:uid="{00000000-0005-0000-0000-0000B3BD0000}"/>
    <cellStyle name="SAPBEXHLevel1 6 2" xfId="46220" xr:uid="{00000000-0005-0000-0000-0000B4BD0000}"/>
    <cellStyle name="SAPBEXHLevel1 6 2 2" xfId="50342" xr:uid="{00000000-0005-0000-0000-0000B5BD0000}"/>
    <cellStyle name="SAPBEXHLevel1 6 3" xfId="50810" xr:uid="{00000000-0005-0000-0000-0000B6BD0000}"/>
    <cellStyle name="SAPBEXHLevel1 6 4" xfId="49677" xr:uid="{00000000-0005-0000-0000-0000B7BD0000}"/>
    <cellStyle name="SAPBEXHLevel1 7" xfId="46221" xr:uid="{00000000-0005-0000-0000-0000B8BD0000}"/>
    <cellStyle name="SAPBEXHLevel1 7 2" xfId="46222" xr:uid="{00000000-0005-0000-0000-0000B9BD0000}"/>
    <cellStyle name="SAPBEXHLevel1 7 2 2" xfId="51045" xr:uid="{00000000-0005-0000-0000-0000BABD0000}"/>
    <cellStyle name="SAPBEXHLevel1 7 3" xfId="51411" xr:uid="{00000000-0005-0000-0000-0000BBBD0000}"/>
    <cellStyle name="SAPBEXHLevel1 7 4" xfId="50000" xr:uid="{00000000-0005-0000-0000-0000BCBD0000}"/>
    <cellStyle name="SAPBEXHLevel1 8" xfId="46223" xr:uid="{00000000-0005-0000-0000-0000BDBD0000}"/>
    <cellStyle name="SAPBEXHLevel1 8 2" xfId="46224" xr:uid="{00000000-0005-0000-0000-0000BEBD0000}"/>
    <cellStyle name="SAPBEXHLevel1 8 3" xfId="50711" xr:uid="{00000000-0005-0000-0000-0000BFBD0000}"/>
    <cellStyle name="SAPBEXHLevel1 9" xfId="46225" xr:uid="{00000000-0005-0000-0000-0000C0BD0000}"/>
    <cellStyle name="SAPBEXHLevel1 9 2" xfId="46226" xr:uid="{00000000-0005-0000-0000-0000C1BD0000}"/>
    <cellStyle name="SAPBEXHLevel1 9 3" xfId="50941"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0" xr:uid="{00000000-0005-0000-0000-0000DCBD0000}"/>
    <cellStyle name="SAPBEXHLevel1X 2 2 2 3" xfId="51569" xr:uid="{00000000-0005-0000-0000-0000DDBD0000}"/>
    <cellStyle name="SAPBEXHLevel1X 2 2 2 4" xfId="49869" xr:uid="{00000000-0005-0000-0000-0000DEBD0000}"/>
    <cellStyle name="SAPBEXHLevel1X 2 2 3" xfId="46251" xr:uid="{00000000-0005-0000-0000-0000DFBD0000}"/>
    <cellStyle name="SAPBEXHLevel1X 2 2 3 2" xfId="50498" xr:uid="{00000000-0005-0000-0000-0000E0BD0000}"/>
    <cellStyle name="SAPBEXHLevel1X 2 2 4" xfId="51360" xr:uid="{00000000-0005-0000-0000-0000E1BD0000}"/>
    <cellStyle name="SAPBEXHLevel1X 2 2 5" xfId="49541"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0" xr:uid="{00000000-0005-0000-0000-0000EFBD0000}"/>
    <cellStyle name="SAPBEXHLevel1X 2 3 2 3" xfId="51620" xr:uid="{00000000-0005-0000-0000-0000F0BD0000}"/>
    <cellStyle name="SAPBEXHLevel1X 2 3 2 4" xfId="49747" xr:uid="{00000000-0005-0000-0000-0000F1BD0000}"/>
    <cellStyle name="SAPBEXHLevel1X 2 3 3" xfId="50619" xr:uid="{00000000-0005-0000-0000-0000F2BD0000}"/>
    <cellStyle name="SAPBEXHLevel1X 2 3 4" xfId="51303" xr:uid="{00000000-0005-0000-0000-0000F3BD0000}"/>
    <cellStyle name="SAPBEXHLevel1X 2 3 5" xfId="49419"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297" xr:uid="{00000000-0005-0000-0000-0000F8BD0000}"/>
    <cellStyle name="SAPBEXHLevel1X 2 4" xfId="46267" xr:uid="{00000000-0005-0000-0000-0000F9BD0000}"/>
    <cellStyle name="SAPBEXHLevel1X 2 4 2" xfId="46268" xr:uid="{00000000-0005-0000-0000-0000FABD0000}"/>
    <cellStyle name="SAPBEXHLevel1X 2 4 2 2" xfId="50333" xr:uid="{00000000-0005-0000-0000-0000FBBD0000}"/>
    <cellStyle name="SAPBEXHLevel1X 2 4 3" xfId="51173" xr:uid="{00000000-0005-0000-0000-0000FCBD0000}"/>
    <cellStyle name="SAPBEXHLevel1X 2 4 4" xfId="49680" xr:uid="{00000000-0005-0000-0000-0000FDBD0000}"/>
    <cellStyle name="SAPBEXHLevel1X 2 5" xfId="46269" xr:uid="{00000000-0005-0000-0000-0000FEBD0000}"/>
    <cellStyle name="SAPBEXHLevel1X 2 5 2" xfId="46270" xr:uid="{00000000-0005-0000-0000-0000FFBD0000}"/>
    <cellStyle name="SAPBEXHLevel1X 2 5 2 2" xfId="51090" xr:uid="{00000000-0005-0000-0000-000000BE0000}"/>
    <cellStyle name="SAPBEXHLevel1X 2 5 3" xfId="50902" xr:uid="{00000000-0005-0000-0000-000001BE0000}"/>
    <cellStyle name="SAPBEXHLevel1X 2 5 4" xfId="50046" xr:uid="{00000000-0005-0000-0000-000002BE0000}"/>
    <cellStyle name="SAPBEXHLevel1X 2 6" xfId="46271" xr:uid="{00000000-0005-0000-0000-000003BE0000}"/>
    <cellStyle name="SAPBEXHLevel1X 2 6 2" xfId="46272" xr:uid="{00000000-0005-0000-0000-000004BE0000}"/>
    <cellStyle name="SAPBEXHLevel1X 2 6 3" xfId="50708" xr:uid="{00000000-0005-0000-0000-000005BE0000}"/>
    <cellStyle name="SAPBEXHLevel1X 2 7" xfId="46273" xr:uid="{00000000-0005-0000-0000-000006BE0000}"/>
    <cellStyle name="SAPBEXHLevel1X 2 7 2" xfId="46274" xr:uid="{00000000-0005-0000-0000-000007BE0000}"/>
    <cellStyle name="SAPBEXHLevel1X 2 7 3" xfId="50850"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18" xr:uid="{00000000-0005-0000-0000-000017BE0000}"/>
    <cellStyle name="SAPBEXHLevel1X 3 10 2" xfId="49746" xr:uid="{00000000-0005-0000-0000-000018BE0000}"/>
    <cellStyle name="SAPBEXHLevel1X 3 10 2 2" xfId="50251" xr:uid="{00000000-0005-0000-0000-000019BE0000}"/>
    <cellStyle name="SAPBEXHLevel1X 3 10 2 3" xfId="51384" xr:uid="{00000000-0005-0000-0000-00001ABE0000}"/>
    <cellStyle name="SAPBEXHLevel1X 3 10 3" xfId="50620" xr:uid="{00000000-0005-0000-0000-00001BBE0000}"/>
    <cellStyle name="SAPBEXHLevel1X 3 10 4" xfId="51462" xr:uid="{00000000-0005-0000-0000-00001CBE0000}"/>
    <cellStyle name="SAPBEXHLevel1X 3 11" xfId="49681" xr:uid="{00000000-0005-0000-0000-00001DBE0000}"/>
    <cellStyle name="SAPBEXHLevel1X 3 11 2" xfId="50332" xr:uid="{00000000-0005-0000-0000-00001EBE0000}"/>
    <cellStyle name="SAPBEXHLevel1X 3 11 3" xfId="51432" xr:uid="{00000000-0005-0000-0000-00001FBE0000}"/>
    <cellStyle name="SAPBEXHLevel1X 3 12" xfId="49997" xr:uid="{00000000-0005-0000-0000-000020BE0000}"/>
    <cellStyle name="SAPBEXHLevel1X 3 12 2" xfId="51042" xr:uid="{00000000-0005-0000-0000-000021BE0000}"/>
    <cellStyle name="SAPBEXHLevel1X 3 12 3" xfId="51551" xr:uid="{00000000-0005-0000-0000-000022BE0000}"/>
    <cellStyle name="SAPBEXHLevel1X 3 13" xfId="50707" xr:uid="{00000000-0005-0000-0000-000023BE0000}"/>
    <cellStyle name="SAPBEXHLevel1X 3 14" xfId="51141" xr:uid="{00000000-0005-0000-0000-000024BE0000}"/>
    <cellStyle name="SAPBEXHLevel1X 3 15" xfId="49298" xr:uid="{00000000-0005-0000-0000-000025BE0000}"/>
    <cellStyle name="SAPBEXHLevel1X 3 2" xfId="46289" xr:uid="{00000000-0005-0000-0000-000026BE0000}"/>
    <cellStyle name="SAPBEXHLevel1X 3 2 2" xfId="49543" xr:uid="{00000000-0005-0000-0000-000027BE0000}"/>
    <cellStyle name="SAPBEXHLevel1X 3 2 2 2" xfId="49871" xr:uid="{00000000-0005-0000-0000-000028BE0000}"/>
    <cellStyle name="SAPBEXHLevel1X 3 2 2 2 2" xfId="50138" xr:uid="{00000000-0005-0000-0000-000029BE0000}"/>
    <cellStyle name="SAPBEXHLevel1X 3 2 2 2 3" xfId="51611" xr:uid="{00000000-0005-0000-0000-00002ABE0000}"/>
    <cellStyle name="SAPBEXHLevel1X 3 2 2 3" xfId="50496" xr:uid="{00000000-0005-0000-0000-00002BBE0000}"/>
    <cellStyle name="SAPBEXHLevel1X 3 2 2 4" xfId="50873" xr:uid="{00000000-0005-0000-0000-00002CBE0000}"/>
    <cellStyle name="SAPBEXHLevel1X 3 2 3" xfId="49417" xr:uid="{00000000-0005-0000-0000-00002DBE0000}"/>
    <cellStyle name="SAPBEXHLevel1X 3 2 3 2" xfId="49745" xr:uid="{00000000-0005-0000-0000-00002EBE0000}"/>
    <cellStyle name="SAPBEXHLevel1X 3 2 3 2 2" xfId="50252" xr:uid="{00000000-0005-0000-0000-00002FBE0000}"/>
    <cellStyle name="SAPBEXHLevel1X 3 2 3 2 3" xfId="51426" xr:uid="{00000000-0005-0000-0000-000030BE0000}"/>
    <cellStyle name="SAPBEXHLevel1X 3 2 3 3" xfId="50621" xr:uid="{00000000-0005-0000-0000-000031BE0000}"/>
    <cellStyle name="SAPBEXHLevel1X 3 2 3 4" xfId="51204" xr:uid="{00000000-0005-0000-0000-000032BE0000}"/>
    <cellStyle name="SAPBEXHLevel1X 3 2 4" xfId="49682" xr:uid="{00000000-0005-0000-0000-000033BE0000}"/>
    <cellStyle name="SAPBEXHLevel1X 3 2 4 2" xfId="50326" xr:uid="{00000000-0005-0000-0000-000034BE0000}"/>
    <cellStyle name="SAPBEXHLevel1X 3 2 4 3" xfId="51376" xr:uid="{00000000-0005-0000-0000-000035BE0000}"/>
    <cellStyle name="SAPBEXHLevel1X 3 2 5" xfId="49996" xr:uid="{00000000-0005-0000-0000-000036BE0000}"/>
    <cellStyle name="SAPBEXHLevel1X 3 2 5 2" xfId="51041" xr:uid="{00000000-0005-0000-0000-000037BE0000}"/>
    <cellStyle name="SAPBEXHLevel1X 3 2 5 3" xfId="51293" xr:uid="{00000000-0005-0000-0000-000038BE0000}"/>
    <cellStyle name="SAPBEXHLevel1X 3 2 6" xfId="50706" xr:uid="{00000000-0005-0000-0000-000039BE0000}"/>
    <cellStyle name="SAPBEXHLevel1X 3 2 7" xfId="50916" xr:uid="{00000000-0005-0000-0000-00003ABE0000}"/>
    <cellStyle name="SAPBEXHLevel1X 3 2 8" xfId="49299" xr:uid="{00000000-0005-0000-0000-00003BBE0000}"/>
    <cellStyle name="SAPBEXHLevel1X 3 3" xfId="46290" xr:uid="{00000000-0005-0000-0000-00003CBE0000}"/>
    <cellStyle name="SAPBEXHLevel1X 3 3 2" xfId="49544" xr:uid="{00000000-0005-0000-0000-00003DBE0000}"/>
    <cellStyle name="SAPBEXHLevel1X 3 3 2 2" xfId="49872" xr:uid="{00000000-0005-0000-0000-00003EBE0000}"/>
    <cellStyle name="SAPBEXHLevel1X 3 3 2 2 2" xfId="50137" xr:uid="{00000000-0005-0000-0000-00003FBE0000}"/>
    <cellStyle name="SAPBEXHLevel1X 3 3 2 2 3" xfId="50646" xr:uid="{00000000-0005-0000-0000-000040BE0000}"/>
    <cellStyle name="SAPBEXHLevel1X 3 3 2 3" xfId="50495" xr:uid="{00000000-0005-0000-0000-000041BE0000}"/>
    <cellStyle name="SAPBEXHLevel1X 3 3 2 4" xfId="51243" xr:uid="{00000000-0005-0000-0000-000042BE0000}"/>
    <cellStyle name="SAPBEXHLevel1X 3 3 3" xfId="49591" xr:uid="{00000000-0005-0000-0000-000043BE0000}"/>
    <cellStyle name="SAPBEXHLevel1X 3 3 3 2" xfId="49919" xr:uid="{00000000-0005-0000-0000-000044BE0000}"/>
    <cellStyle name="SAPBEXHLevel1X 3 3 3 2 2" xfId="50090" xr:uid="{00000000-0005-0000-0000-000045BE0000}"/>
    <cellStyle name="SAPBEXHLevel1X 3 3 3 2 3" xfId="51106" xr:uid="{00000000-0005-0000-0000-000046BE0000}"/>
    <cellStyle name="SAPBEXHLevel1X 3 3 3 3" xfId="50448" xr:uid="{00000000-0005-0000-0000-000047BE0000}"/>
    <cellStyle name="SAPBEXHLevel1X 3 3 3 4" xfId="51662" xr:uid="{00000000-0005-0000-0000-000048BE0000}"/>
    <cellStyle name="SAPBEXHLevel1X 3 3 4" xfId="49683" xr:uid="{00000000-0005-0000-0000-000049BE0000}"/>
    <cellStyle name="SAPBEXHLevel1X 3 3 4 2" xfId="50325" xr:uid="{00000000-0005-0000-0000-00004ABE0000}"/>
    <cellStyle name="SAPBEXHLevel1X 3 3 4 3" xfId="51625" xr:uid="{00000000-0005-0000-0000-00004BBE0000}"/>
    <cellStyle name="SAPBEXHLevel1X 3 3 5" xfId="49995" xr:uid="{00000000-0005-0000-0000-00004CBE0000}"/>
    <cellStyle name="SAPBEXHLevel1X 3 3 5 2" xfId="51040" xr:uid="{00000000-0005-0000-0000-00004DBE0000}"/>
    <cellStyle name="SAPBEXHLevel1X 3 3 5 3" xfId="51118" xr:uid="{00000000-0005-0000-0000-00004EBE0000}"/>
    <cellStyle name="SAPBEXHLevel1X 3 3 6" xfId="50705" xr:uid="{00000000-0005-0000-0000-00004FBE0000}"/>
    <cellStyle name="SAPBEXHLevel1X 3 3 7" xfId="50662" xr:uid="{00000000-0005-0000-0000-000050BE0000}"/>
    <cellStyle name="SAPBEXHLevel1X 3 3 8" xfId="49300" xr:uid="{00000000-0005-0000-0000-000051BE0000}"/>
    <cellStyle name="SAPBEXHLevel1X 3 4" xfId="49301" xr:uid="{00000000-0005-0000-0000-000052BE0000}"/>
    <cellStyle name="SAPBEXHLevel1X 3 4 2" xfId="49545" xr:uid="{00000000-0005-0000-0000-000053BE0000}"/>
    <cellStyle name="SAPBEXHLevel1X 3 4 2 2" xfId="49873" xr:uid="{00000000-0005-0000-0000-000054BE0000}"/>
    <cellStyle name="SAPBEXHLevel1X 3 4 2 2 2" xfId="50136" xr:uid="{00000000-0005-0000-0000-000055BE0000}"/>
    <cellStyle name="SAPBEXHLevel1X 3 4 2 2 3" xfId="51281" xr:uid="{00000000-0005-0000-0000-000056BE0000}"/>
    <cellStyle name="SAPBEXHLevel1X 3 4 2 3" xfId="50494" xr:uid="{00000000-0005-0000-0000-000057BE0000}"/>
    <cellStyle name="SAPBEXHLevel1X 3 4 2 4" xfId="51500" xr:uid="{00000000-0005-0000-0000-000058BE0000}"/>
    <cellStyle name="SAPBEXHLevel1X 3 4 3" xfId="49416" xr:uid="{00000000-0005-0000-0000-000059BE0000}"/>
    <cellStyle name="SAPBEXHLevel1X 3 4 3 2" xfId="49744" xr:uid="{00000000-0005-0000-0000-00005ABE0000}"/>
    <cellStyle name="SAPBEXHLevel1X 3 4 3 2 2" xfId="50253" xr:uid="{00000000-0005-0000-0000-00005BBE0000}"/>
    <cellStyle name="SAPBEXHLevel1X 3 4 3 2 3" xfId="51166" xr:uid="{00000000-0005-0000-0000-00005CBE0000}"/>
    <cellStyle name="SAPBEXHLevel1X 3 4 3 3" xfId="50622" xr:uid="{00000000-0005-0000-0000-00005DBE0000}"/>
    <cellStyle name="SAPBEXHLevel1X 3 4 3 4" xfId="51483" xr:uid="{00000000-0005-0000-0000-00005EBE0000}"/>
    <cellStyle name="SAPBEXHLevel1X 3 4 4" xfId="49684" xr:uid="{00000000-0005-0000-0000-00005FBE0000}"/>
    <cellStyle name="SAPBEXHLevel1X 3 4 4 2" xfId="50324" xr:uid="{00000000-0005-0000-0000-000060BE0000}"/>
    <cellStyle name="SAPBEXHLevel1X 3 4 4 3" xfId="50811" xr:uid="{00000000-0005-0000-0000-000061BE0000}"/>
    <cellStyle name="SAPBEXHLevel1X 3 4 5" xfId="49994" xr:uid="{00000000-0005-0000-0000-000062BE0000}"/>
    <cellStyle name="SAPBEXHLevel1X 3 4 5 2" xfId="51039" xr:uid="{00000000-0005-0000-0000-000063BE0000}"/>
    <cellStyle name="SAPBEXHLevel1X 3 4 5 3" xfId="51605" xr:uid="{00000000-0005-0000-0000-000064BE0000}"/>
    <cellStyle name="SAPBEXHLevel1X 3 4 6" xfId="50704" xr:uid="{00000000-0005-0000-0000-000065BE0000}"/>
    <cellStyle name="SAPBEXHLevel1X 3 4 7" xfId="50903" xr:uid="{00000000-0005-0000-0000-000066BE0000}"/>
    <cellStyle name="SAPBEXHLevel1X 3 5" xfId="49302" xr:uid="{00000000-0005-0000-0000-000067BE0000}"/>
    <cellStyle name="SAPBEXHLevel1X 3 5 2" xfId="49546" xr:uid="{00000000-0005-0000-0000-000068BE0000}"/>
    <cellStyle name="SAPBEXHLevel1X 3 5 2 2" xfId="49874" xr:uid="{00000000-0005-0000-0000-000069BE0000}"/>
    <cellStyle name="SAPBEXHLevel1X 3 5 2 2 2" xfId="50135" xr:uid="{00000000-0005-0000-0000-00006ABE0000}"/>
    <cellStyle name="SAPBEXHLevel1X 3 5 2 2 3" xfId="51539" xr:uid="{00000000-0005-0000-0000-00006BBE0000}"/>
    <cellStyle name="SAPBEXHLevel1X 3 5 2 3" xfId="50493" xr:uid="{00000000-0005-0000-0000-00006CBE0000}"/>
    <cellStyle name="SAPBEXHLevel1X 3 5 2 4" xfId="51187" xr:uid="{00000000-0005-0000-0000-00006DBE0000}"/>
    <cellStyle name="SAPBEXHLevel1X 3 5 3" xfId="49415" xr:uid="{00000000-0005-0000-0000-00006EBE0000}"/>
    <cellStyle name="SAPBEXHLevel1X 3 5 3 2" xfId="49743" xr:uid="{00000000-0005-0000-0000-00006FBE0000}"/>
    <cellStyle name="SAPBEXHLevel1X 3 5 3 2 2" xfId="50254" xr:uid="{00000000-0005-0000-0000-000070BE0000}"/>
    <cellStyle name="SAPBEXHLevel1X 3 5 3 2 3" xfId="50973" xr:uid="{00000000-0005-0000-0000-000071BE0000}"/>
    <cellStyle name="SAPBEXHLevel1X 3 5 3 3" xfId="50623" xr:uid="{00000000-0005-0000-0000-000072BE0000}"/>
    <cellStyle name="SAPBEXHLevel1X 3 5 3 4" xfId="51226" xr:uid="{00000000-0005-0000-0000-000073BE0000}"/>
    <cellStyle name="SAPBEXHLevel1X 3 5 4" xfId="49685" xr:uid="{00000000-0005-0000-0000-000074BE0000}"/>
    <cellStyle name="SAPBEXHLevel1X 3 5 4 2" xfId="50323" xr:uid="{00000000-0005-0000-0000-000075BE0000}"/>
    <cellStyle name="SAPBEXHLevel1X 3 5 4 3" xfId="51259" xr:uid="{00000000-0005-0000-0000-000076BE0000}"/>
    <cellStyle name="SAPBEXHLevel1X 3 5 5" xfId="49993" xr:uid="{00000000-0005-0000-0000-000077BE0000}"/>
    <cellStyle name="SAPBEXHLevel1X 3 5 5 2" xfId="51038" xr:uid="{00000000-0005-0000-0000-000078BE0000}"/>
    <cellStyle name="SAPBEXHLevel1X 3 5 5 3" xfId="51410" xr:uid="{00000000-0005-0000-0000-000079BE0000}"/>
    <cellStyle name="SAPBEXHLevel1X 3 5 6" xfId="50703" xr:uid="{00000000-0005-0000-0000-00007ABE0000}"/>
    <cellStyle name="SAPBEXHLevel1X 3 5 7" xfId="50989" xr:uid="{00000000-0005-0000-0000-00007BBE0000}"/>
    <cellStyle name="SAPBEXHLevel1X 3 6" xfId="49303" xr:uid="{00000000-0005-0000-0000-00007CBE0000}"/>
    <cellStyle name="SAPBEXHLevel1X 3 6 2" xfId="49547" xr:uid="{00000000-0005-0000-0000-00007DBE0000}"/>
    <cellStyle name="SAPBEXHLevel1X 3 6 2 2" xfId="49875" xr:uid="{00000000-0005-0000-0000-00007EBE0000}"/>
    <cellStyle name="SAPBEXHLevel1X 3 6 2 2 2" xfId="50134" xr:uid="{00000000-0005-0000-0000-00007FBE0000}"/>
    <cellStyle name="SAPBEXHLevel1X 3 6 2 2 3" xfId="51313" xr:uid="{00000000-0005-0000-0000-000080BE0000}"/>
    <cellStyle name="SAPBEXHLevel1X 3 6 2 3" xfId="50492" xr:uid="{00000000-0005-0000-0000-000081BE0000}"/>
    <cellStyle name="SAPBEXHLevel1X 3 6 2 4" xfId="51445" xr:uid="{00000000-0005-0000-0000-000082BE0000}"/>
    <cellStyle name="SAPBEXHLevel1X 3 6 3" xfId="49590" xr:uid="{00000000-0005-0000-0000-000083BE0000}"/>
    <cellStyle name="SAPBEXHLevel1X 3 6 3 2" xfId="49918" xr:uid="{00000000-0005-0000-0000-000084BE0000}"/>
    <cellStyle name="SAPBEXHLevel1X 3 6 3 2 2" xfId="50091" xr:uid="{00000000-0005-0000-0000-000085BE0000}"/>
    <cellStyle name="SAPBEXHLevel1X 3 6 3 2 3" xfId="51152" xr:uid="{00000000-0005-0000-0000-000086BE0000}"/>
    <cellStyle name="SAPBEXHLevel1X 3 6 3 3" xfId="50449" xr:uid="{00000000-0005-0000-0000-000087BE0000}"/>
    <cellStyle name="SAPBEXHLevel1X 3 6 3 4" xfId="51367" xr:uid="{00000000-0005-0000-0000-000088BE0000}"/>
    <cellStyle name="SAPBEXHLevel1X 3 6 4" xfId="49686" xr:uid="{00000000-0005-0000-0000-000089BE0000}"/>
    <cellStyle name="SAPBEXHLevel1X 3 6 4 2" xfId="50322" xr:uid="{00000000-0005-0000-0000-00008ABE0000}"/>
    <cellStyle name="SAPBEXHLevel1X 3 6 4 3" xfId="51516" xr:uid="{00000000-0005-0000-0000-00008BBE0000}"/>
    <cellStyle name="SAPBEXHLevel1X 3 6 5" xfId="49992" xr:uid="{00000000-0005-0000-0000-00008CBE0000}"/>
    <cellStyle name="SAPBEXHLevel1X 3 6 5 2" xfId="51037" xr:uid="{00000000-0005-0000-0000-00008DBE0000}"/>
    <cellStyle name="SAPBEXHLevel1X 3 6 5 3" xfId="51589" xr:uid="{00000000-0005-0000-0000-00008EBE0000}"/>
    <cellStyle name="SAPBEXHLevel1X 3 6 6" xfId="50702" xr:uid="{00000000-0005-0000-0000-00008FBE0000}"/>
    <cellStyle name="SAPBEXHLevel1X 3 6 7" xfId="50793" xr:uid="{00000000-0005-0000-0000-000090BE0000}"/>
    <cellStyle name="SAPBEXHLevel1X 3 7" xfId="49304" xr:uid="{00000000-0005-0000-0000-000091BE0000}"/>
    <cellStyle name="SAPBEXHLevel1X 3 7 2" xfId="49548" xr:uid="{00000000-0005-0000-0000-000092BE0000}"/>
    <cellStyle name="SAPBEXHLevel1X 3 7 2 2" xfId="49876" xr:uid="{00000000-0005-0000-0000-000093BE0000}"/>
    <cellStyle name="SAPBEXHLevel1X 3 7 2 2 2" xfId="50133" xr:uid="{00000000-0005-0000-0000-000094BE0000}"/>
    <cellStyle name="SAPBEXHLevel1X 3 7 2 2 3" xfId="51570" xr:uid="{00000000-0005-0000-0000-000095BE0000}"/>
    <cellStyle name="SAPBEXHLevel1X 3 7 2 3" xfId="50491" xr:uid="{00000000-0005-0000-0000-000096BE0000}"/>
    <cellStyle name="SAPBEXHLevel1X 3 7 2 4" xfId="51361" xr:uid="{00000000-0005-0000-0000-000097BE0000}"/>
    <cellStyle name="SAPBEXHLevel1X 3 7 3" xfId="49414" xr:uid="{00000000-0005-0000-0000-000098BE0000}"/>
    <cellStyle name="SAPBEXHLevel1X 3 7 3 2" xfId="49742" xr:uid="{00000000-0005-0000-0000-000099BE0000}"/>
    <cellStyle name="SAPBEXHLevel1X 3 7 3 2 2" xfId="50255" xr:uid="{00000000-0005-0000-0000-00009ABE0000}"/>
    <cellStyle name="SAPBEXHLevel1X 3 7 3 2 3" xfId="51594" xr:uid="{00000000-0005-0000-0000-00009BBE0000}"/>
    <cellStyle name="SAPBEXHLevel1X 3 7 3 3" xfId="50624" xr:uid="{00000000-0005-0000-0000-00009CBE0000}"/>
    <cellStyle name="SAPBEXHLevel1X 3 7 3 4" xfId="50957" xr:uid="{00000000-0005-0000-0000-00009DBE0000}"/>
    <cellStyle name="SAPBEXHLevel1X 3 7 4" xfId="49687" xr:uid="{00000000-0005-0000-0000-00009EBE0000}"/>
    <cellStyle name="SAPBEXHLevel1X 3 7 4 2" xfId="50321" xr:uid="{00000000-0005-0000-0000-00009FBE0000}"/>
    <cellStyle name="SAPBEXHLevel1X 3 7 4 3" xfId="50648" xr:uid="{00000000-0005-0000-0000-0000A0BE0000}"/>
    <cellStyle name="SAPBEXHLevel1X 3 7 5" xfId="49965" xr:uid="{00000000-0005-0000-0000-0000A1BE0000}"/>
    <cellStyle name="SAPBEXHLevel1X 3 7 5 2" xfId="51010" xr:uid="{00000000-0005-0000-0000-0000A2BE0000}"/>
    <cellStyle name="SAPBEXHLevel1X 3 7 5 3" xfId="51577" xr:uid="{00000000-0005-0000-0000-0000A3BE0000}"/>
    <cellStyle name="SAPBEXHLevel1X 3 7 6" xfId="50701" xr:uid="{00000000-0005-0000-0000-0000A4BE0000}"/>
    <cellStyle name="SAPBEXHLevel1X 3 7 7" xfId="50794" xr:uid="{00000000-0005-0000-0000-0000A5BE0000}"/>
    <cellStyle name="SAPBEXHLevel1X 3 8" xfId="49305" xr:uid="{00000000-0005-0000-0000-0000A6BE0000}"/>
    <cellStyle name="SAPBEXHLevel1X 3 8 2" xfId="49549" xr:uid="{00000000-0005-0000-0000-0000A7BE0000}"/>
    <cellStyle name="SAPBEXHLevel1X 3 8 2 2" xfId="49877" xr:uid="{00000000-0005-0000-0000-0000A8BE0000}"/>
    <cellStyle name="SAPBEXHLevel1X 3 8 2 2 2" xfId="50132" xr:uid="{00000000-0005-0000-0000-0000A9BE0000}"/>
    <cellStyle name="SAPBEXHLevel1X 3 8 2 2 3" xfId="51400" xr:uid="{00000000-0005-0000-0000-0000AABE0000}"/>
    <cellStyle name="SAPBEXHLevel1X 3 8 2 3" xfId="50490" xr:uid="{00000000-0005-0000-0000-0000ABBE0000}"/>
    <cellStyle name="SAPBEXHLevel1X 3 8 2 4" xfId="51637" xr:uid="{00000000-0005-0000-0000-0000ACBE0000}"/>
    <cellStyle name="SAPBEXHLevel1X 3 8 3" xfId="49413" xr:uid="{00000000-0005-0000-0000-0000ADBE0000}"/>
    <cellStyle name="SAPBEXHLevel1X 3 8 3 2" xfId="49741" xr:uid="{00000000-0005-0000-0000-0000AEBE0000}"/>
    <cellStyle name="SAPBEXHLevel1X 3 8 3 2 2" xfId="50256" xr:uid="{00000000-0005-0000-0000-0000AFBE0000}"/>
    <cellStyle name="SAPBEXHLevel1X 3 8 3 2 3" xfId="51383" xr:uid="{00000000-0005-0000-0000-0000B0BE0000}"/>
    <cellStyle name="SAPBEXHLevel1X 3 8 3 3" xfId="50625" xr:uid="{00000000-0005-0000-0000-0000B1BE0000}"/>
    <cellStyle name="SAPBEXHLevel1X 3 8 3 4" xfId="51654" xr:uid="{00000000-0005-0000-0000-0000B2BE0000}"/>
    <cellStyle name="SAPBEXHLevel1X 3 8 4" xfId="49688" xr:uid="{00000000-0005-0000-0000-0000B3BE0000}"/>
    <cellStyle name="SAPBEXHLevel1X 3 8 4 2" xfId="50320" xr:uid="{00000000-0005-0000-0000-0000B4BE0000}"/>
    <cellStyle name="SAPBEXHLevel1X 3 8 4 3" xfId="51301" xr:uid="{00000000-0005-0000-0000-0000B5BE0000}"/>
    <cellStyle name="SAPBEXHLevel1X 3 8 5" xfId="49991" xr:uid="{00000000-0005-0000-0000-0000B6BE0000}"/>
    <cellStyle name="SAPBEXHLevel1X 3 8 5 2" xfId="51036" xr:uid="{00000000-0005-0000-0000-0000B7BE0000}"/>
    <cellStyle name="SAPBEXHLevel1X 3 8 5 3" xfId="51334" xr:uid="{00000000-0005-0000-0000-0000B8BE0000}"/>
    <cellStyle name="SAPBEXHLevel1X 3 8 6" xfId="50700" xr:uid="{00000000-0005-0000-0000-0000B9BE0000}"/>
    <cellStyle name="SAPBEXHLevel1X 3 8 7" xfId="50795" xr:uid="{00000000-0005-0000-0000-0000BABE0000}"/>
    <cellStyle name="SAPBEXHLevel1X 3 9" xfId="49542" xr:uid="{00000000-0005-0000-0000-0000BBBE0000}"/>
    <cellStyle name="SAPBEXHLevel1X 3 9 2" xfId="49870" xr:uid="{00000000-0005-0000-0000-0000BCBE0000}"/>
    <cellStyle name="SAPBEXHLevel1X 3 9 2 2" xfId="50139" xr:uid="{00000000-0005-0000-0000-0000BDBE0000}"/>
    <cellStyle name="SAPBEXHLevel1X 3 9 2 3" xfId="51399" xr:uid="{00000000-0005-0000-0000-0000BEBE0000}"/>
    <cellStyle name="SAPBEXHLevel1X 3 9 3" xfId="50497" xr:uid="{00000000-0005-0000-0000-0000BFBE0000}"/>
    <cellStyle name="SAPBEXHLevel1X 3 9 4" xfId="51638"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6" xr:uid="{00000000-0005-0000-0000-0000C5BE0000}"/>
    <cellStyle name="SAPBEXHLevel1X 4" xfId="46295" xr:uid="{00000000-0005-0000-0000-0000C6BE0000}"/>
    <cellStyle name="SAPBEXHLevel1X 4 2" xfId="46296" xr:uid="{00000000-0005-0000-0000-0000C7BE0000}"/>
    <cellStyle name="SAPBEXHLevel1X 4 2 2" xfId="50141" xr:uid="{00000000-0005-0000-0000-0000C8BE0000}"/>
    <cellStyle name="SAPBEXHLevel1X 4 2 3" xfId="51312" xr:uid="{00000000-0005-0000-0000-0000C9BE0000}"/>
    <cellStyle name="SAPBEXHLevel1X 4 2 4" xfId="49868" xr:uid="{00000000-0005-0000-0000-0000CABE0000}"/>
    <cellStyle name="SAPBEXHLevel1X 4 3" xfId="50499" xr:uid="{00000000-0005-0000-0000-0000CBBE0000}"/>
    <cellStyle name="SAPBEXHLevel1X 4 4" xfId="51446" xr:uid="{00000000-0005-0000-0000-0000CCBE0000}"/>
    <cellStyle name="SAPBEXHLevel1X 4 5" xfId="49540" xr:uid="{00000000-0005-0000-0000-0000CDBE0000}"/>
    <cellStyle name="SAPBEXHLevel1X 5" xfId="46297" xr:uid="{00000000-0005-0000-0000-0000CEBE0000}"/>
    <cellStyle name="SAPBEXHLevel1X 5 2" xfId="46298" xr:uid="{00000000-0005-0000-0000-0000CFBE0000}"/>
    <cellStyle name="SAPBEXHLevel1X 5 2 2" xfId="50249" xr:uid="{00000000-0005-0000-0000-0000D0BE0000}"/>
    <cellStyle name="SAPBEXHLevel1X 5 2 3" xfId="50813" xr:uid="{00000000-0005-0000-0000-0000D1BE0000}"/>
    <cellStyle name="SAPBEXHLevel1X 5 2 4" xfId="49748" xr:uid="{00000000-0005-0000-0000-0000D2BE0000}"/>
    <cellStyle name="SAPBEXHLevel1X 5 3" xfId="50618" xr:uid="{00000000-0005-0000-0000-0000D3BE0000}"/>
    <cellStyle name="SAPBEXHLevel1X 5 4" xfId="51560" xr:uid="{00000000-0005-0000-0000-0000D4BE0000}"/>
    <cellStyle name="SAPBEXHLevel1X 5 5" xfId="49420" xr:uid="{00000000-0005-0000-0000-0000D5BE0000}"/>
    <cellStyle name="SAPBEXHLevel1X 6" xfId="46299" xr:uid="{00000000-0005-0000-0000-0000D6BE0000}"/>
    <cellStyle name="SAPBEXHLevel1X 6 2" xfId="46300" xr:uid="{00000000-0005-0000-0000-0000D7BE0000}"/>
    <cellStyle name="SAPBEXHLevel1X 6 2 2" xfId="50334" xr:uid="{00000000-0005-0000-0000-0000D8BE0000}"/>
    <cellStyle name="SAPBEXHLevel1X 6 3" xfId="51515" xr:uid="{00000000-0005-0000-0000-0000D9BE0000}"/>
    <cellStyle name="SAPBEXHLevel1X 6 4" xfId="49679" xr:uid="{00000000-0005-0000-0000-0000DABE0000}"/>
    <cellStyle name="SAPBEXHLevel1X 7" xfId="46301" xr:uid="{00000000-0005-0000-0000-0000DBBE0000}"/>
    <cellStyle name="SAPBEXHLevel1X 7 2" xfId="46302" xr:uid="{00000000-0005-0000-0000-0000DCBE0000}"/>
    <cellStyle name="SAPBEXHLevel1X 7 2 2" xfId="51043" xr:uid="{00000000-0005-0000-0000-0000DDBE0000}"/>
    <cellStyle name="SAPBEXHLevel1X 7 3" xfId="51324" xr:uid="{00000000-0005-0000-0000-0000DEBE0000}"/>
    <cellStyle name="SAPBEXHLevel1X 7 4" xfId="49998" xr:uid="{00000000-0005-0000-0000-0000DFBE0000}"/>
    <cellStyle name="SAPBEXHLevel1X 8" xfId="46303" xr:uid="{00000000-0005-0000-0000-0000E0BE0000}"/>
    <cellStyle name="SAPBEXHLevel1X 8 2" xfId="46304" xr:uid="{00000000-0005-0000-0000-0000E1BE0000}"/>
    <cellStyle name="SAPBEXHLevel1X 8 3" xfId="50709" xr:uid="{00000000-0005-0000-0000-0000E2BE0000}"/>
    <cellStyle name="SAPBEXHLevel1X 9" xfId="46305" xr:uid="{00000000-0005-0000-0000-0000E3BE0000}"/>
    <cellStyle name="SAPBEXHLevel1X 9 2" xfId="46306" xr:uid="{00000000-0005-0000-0000-0000E4BE0000}"/>
    <cellStyle name="SAPBEXHLevel1X 9 3" xfId="50940"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5"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0" xr:uid="{00000000-0005-0000-0000-000000BF0000}"/>
    <cellStyle name="SAPBEXHLevel2 2 2 2 3" xfId="50914" xr:uid="{00000000-0005-0000-0000-000001BF0000}"/>
    <cellStyle name="SAPBEXHLevel2 2 2 2 4" xfId="49879" xr:uid="{00000000-0005-0000-0000-000002BF0000}"/>
    <cellStyle name="SAPBEXHLevel2 2 2 3" xfId="46331" xr:uid="{00000000-0005-0000-0000-000003BF0000}"/>
    <cellStyle name="SAPBEXHLevel2 2 2 3 2" xfId="50488" xr:uid="{00000000-0005-0000-0000-000004BF0000}"/>
    <cellStyle name="SAPBEXHLevel2 2 2 4" xfId="51244" xr:uid="{00000000-0005-0000-0000-000005BF0000}"/>
    <cellStyle name="SAPBEXHLevel2 2 2 5" xfId="49551"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58" xr:uid="{00000000-0005-0000-0000-000013BF0000}"/>
    <cellStyle name="SAPBEXHLevel2 2 3 2 3" xfId="51167" xr:uid="{00000000-0005-0000-0000-000014BF0000}"/>
    <cellStyle name="SAPBEXHLevel2 2 3 2 4" xfId="49739" xr:uid="{00000000-0005-0000-0000-000015BF0000}"/>
    <cellStyle name="SAPBEXHLevel2 2 3 3" xfId="50627" xr:uid="{00000000-0005-0000-0000-000016BF0000}"/>
    <cellStyle name="SAPBEXHLevel2 2 3 4" xfId="51463" xr:uid="{00000000-0005-0000-0000-000017BF0000}"/>
    <cellStyle name="SAPBEXHLevel2 2 3 5" xfId="49411"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07" xr:uid="{00000000-0005-0000-0000-00001CBF0000}"/>
    <cellStyle name="SAPBEXHLevel2 2 4" xfId="46347" xr:uid="{00000000-0005-0000-0000-00001DBF0000}"/>
    <cellStyle name="SAPBEXHLevel2 2 4 2" xfId="46348" xr:uid="{00000000-0005-0000-0000-00001EBF0000}"/>
    <cellStyle name="SAPBEXHLevel2 2 4 2 2" xfId="50317" xr:uid="{00000000-0005-0000-0000-00001FBF0000}"/>
    <cellStyle name="SAPBEXHLevel2 2 4 3" xfId="51377" xr:uid="{00000000-0005-0000-0000-000020BF0000}"/>
    <cellStyle name="SAPBEXHLevel2 2 4 4" xfId="49690" xr:uid="{00000000-0005-0000-0000-000021BF0000}"/>
    <cellStyle name="SAPBEXHLevel2 2 5" xfId="46349" xr:uid="{00000000-0005-0000-0000-000022BF0000}"/>
    <cellStyle name="SAPBEXHLevel2 2 5 2" xfId="46350" xr:uid="{00000000-0005-0000-0000-000023BF0000}"/>
    <cellStyle name="SAPBEXHLevel2 2 5 2 2" xfId="51035" xr:uid="{00000000-0005-0000-0000-000024BF0000}"/>
    <cellStyle name="SAPBEXHLevel2 2 5 3" xfId="51580" xr:uid="{00000000-0005-0000-0000-000025BF0000}"/>
    <cellStyle name="SAPBEXHLevel2 2 5 4" xfId="49990" xr:uid="{00000000-0005-0000-0000-000026BF0000}"/>
    <cellStyle name="SAPBEXHLevel2 2 6" xfId="46351" xr:uid="{00000000-0005-0000-0000-000027BF0000}"/>
    <cellStyle name="SAPBEXHLevel2 2 6 2" xfId="46352" xr:uid="{00000000-0005-0000-0000-000028BF0000}"/>
    <cellStyle name="SAPBEXHLevel2 2 6 3" xfId="50698" xr:uid="{00000000-0005-0000-0000-000029BF0000}"/>
    <cellStyle name="SAPBEXHLevel2 2 7" xfId="46353" xr:uid="{00000000-0005-0000-0000-00002ABF0000}"/>
    <cellStyle name="SAPBEXHLevel2 2 7 2" xfId="46354" xr:uid="{00000000-0005-0000-0000-00002BBF0000}"/>
    <cellStyle name="SAPBEXHLevel2 2 7 3" xfId="50796"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1" xr:uid="{00000000-0005-0000-0000-00003CBF0000}"/>
    <cellStyle name="SAPBEXHLevel2 3 2 3" xfId="51610" xr:uid="{00000000-0005-0000-0000-00003DBF0000}"/>
    <cellStyle name="SAPBEXHLevel2 3 2 4" xfId="49878" xr:uid="{00000000-0005-0000-0000-00003EBF0000}"/>
    <cellStyle name="SAPBEXHLevel2 3 3" xfId="46370" xr:uid="{00000000-0005-0000-0000-00003FBF0000}"/>
    <cellStyle name="SAPBEXHLevel2 3 3 2" xfId="50489" xr:uid="{00000000-0005-0000-0000-000040BF0000}"/>
    <cellStyle name="SAPBEXHLevel2 3 4" xfId="50947" xr:uid="{00000000-0005-0000-0000-000041BF0000}"/>
    <cellStyle name="SAPBEXHLevel2 3 5" xfId="49550"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6" xr:uid="{00000000-0005-0000-0000-000047BF0000}"/>
    <cellStyle name="SAPBEXHLevel2 4" xfId="46375" xr:uid="{00000000-0005-0000-0000-000048BF0000}"/>
    <cellStyle name="SAPBEXHLevel2 4 2" xfId="46376" xr:uid="{00000000-0005-0000-0000-000049BF0000}"/>
    <cellStyle name="SAPBEXHLevel2 4 2 2" xfId="50257" xr:uid="{00000000-0005-0000-0000-00004ABF0000}"/>
    <cellStyle name="SAPBEXHLevel2 4 2 3" xfId="51427" xr:uid="{00000000-0005-0000-0000-00004BBF0000}"/>
    <cellStyle name="SAPBEXHLevel2 4 2 4" xfId="49740" xr:uid="{00000000-0005-0000-0000-00004CBF0000}"/>
    <cellStyle name="SAPBEXHLevel2 4 3" xfId="50626" xr:uid="{00000000-0005-0000-0000-00004DBF0000}"/>
    <cellStyle name="SAPBEXHLevel2 4 4" xfId="51343" xr:uid="{00000000-0005-0000-0000-00004EBF0000}"/>
    <cellStyle name="SAPBEXHLevel2 4 5" xfId="49412" xr:uid="{00000000-0005-0000-0000-00004FBF0000}"/>
    <cellStyle name="SAPBEXHLevel2 5" xfId="46377" xr:uid="{00000000-0005-0000-0000-000050BF0000}"/>
    <cellStyle name="SAPBEXHLevel2 5 2" xfId="46378" xr:uid="{00000000-0005-0000-0000-000051BF0000}"/>
    <cellStyle name="SAPBEXHLevel2 5 2 2" xfId="50107" xr:uid="{00000000-0005-0000-0000-000052BF0000}"/>
    <cellStyle name="SAPBEXHLevel2 5 2 3" xfId="51275" xr:uid="{00000000-0005-0000-0000-000053BF0000}"/>
    <cellStyle name="SAPBEXHLevel2 5 2 4" xfId="49902" xr:uid="{00000000-0005-0000-0000-000054BF0000}"/>
    <cellStyle name="SAPBEXHLevel2 5 3" xfId="50465" xr:uid="{00000000-0005-0000-0000-000055BF0000}"/>
    <cellStyle name="SAPBEXHLevel2 5 4" xfId="51183" xr:uid="{00000000-0005-0000-0000-000056BF0000}"/>
    <cellStyle name="SAPBEXHLevel2 5 5" xfId="49574" xr:uid="{00000000-0005-0000-0000-000057BF0000}"/>
    <cellStyle name="SAPBEXHLevel2 6" xfId="46379" xr:uid="{00000000-0005-0000-0000-000058BF0000}"/>
    <cellStyle name="SAPBEXHLevel2 6 2" xfId="46380" xr:uid="{00000000-0005-0000-0000-000059BF0000}"/>
    <cellStyle name="SAPBEXHLevel2 6 2 2" xfId="50318" xr:uid="{00000000-0005-0000-0000-00005ABF0000}"/>
    <cellStyle name="SAPBEXHLevel2 6 3" xfId="51558" xr:uid="{00000000-0005-0000-0000-00005BBF0000}"/>
    <cellStyle name="SAPBEXHLevel2 6 4" xfId="49689" xr:uid="{00000000-0005-0000-0000-00005CBF0000}"/>
    <cellStyle name="SAPBEXHLevel2 7" xfId="46381" xr:uid="{00000000-0005-0000-0000-00005DBF0000}"/>
    <cellStyle name="SAPBEXHLevel2 7 2" xfId="46382" xr:uid="{00000000-0005-0000-0000-00005EBF0000}"/>
    <cellStyle name="SAPBEXHLevel2 7 2 2" xfId="51006" xr:uid="{00000000-0005-0000-0000-00005FBF0000}"/>
    <cellStyle name="SAPBEXHLevel2 7 3" xfId="51416" xr:uid="{00000000-0005-0000-0000-000060BF0000}"/>
    <cellStyle name="SAPBEXHLevel2 7 4" xfId="49961" xr:uid="{00000000-0005-0000-0000-000061BF0000}"/>
    <cellStyle name="SAPBEXHLevel2 8" xfId="46383" xr:uid="{00000000-0005-0000-0000-000062BF0000}"/>
    <cellStyle name="SAPBEXHLevel2 8 2" xfId="46384" xr:uid="{00000000-0005-0000-0000-000063BF0000}"/>
    <cellStyle name="SAPBEXHLevel2 8 3" xfId="50699" xr:uid="{00000000-0005-0000-0000-000064BF0000}"/>
    <cellStyle name="SAPBEXHLevel2 9" xfId="46385" xr:uid="{00000000-0005-0000-0000-000065BF0000}"/>
    <cellStyle name="SAPBEXHLevel2 9 2" xfId="46386" xr:uid="{00000000-0005-0000-0000-000066BF0000}"/>
    <cellStyle name="SAPBEXHLevel2 9 3" xfId="50840"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28" xr:uid="{00000000-0005-0000-0000-000081BF0000}"/>
    <cellStyle name="SAPBEXHLevel2X 2 2 2 3" xfId="51540" xr:uid="{00000000-0005-0000-0000-000082BF0000}"/>
    <cellStyle name="SAPBEXHLevel2X 2 2 2 4" xfId="49881" xr:uid="{00000000-0005-0000-0000-000083BF0000}"/>
    <cellStyle name="SAPBEXHLevel2X 2 2 3" xfId="46411" xr:uid="{00000000-0005-0000-0000-000084BF0000}"/>
    <cellStyle name="SAPBEXHLevel2X 2 2 3 2" xfId="50486" xr:uid="{00000000-0005-0000-0000-000085BF0000}"/>
    <cellStyle name="SAPBEXHLevel2X 2 2 4" xfId="51186" xr:uid="{00000000-0005-0000-0000-000086BF0000}"/>
    <cellStyle name="SAPBEXHLevel2X 2 2 5" xfId="49553"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0" xr:uid="{00000000-0005-0000-0000-000094BF0000}"/>
    <cellStyle name="SAPBEXHLevel2X 2 3 2 3" xfId="51264" xr:uid="{00000000-0005-0000-0000-000095BF0000}"/>
    <cellStyle name="SAPBEXHLevel2X 2 3 2 4" xfId="49737" xr:uid="{00000000-0005-0000-0000-000096BF0000}"/>
    <cellStyle name="SAPBEXHLevel2X 2 3 3" xfId="50629" xr:uid="{00000000-0005-0000-0000-000097BF0000}"/>
    <cellStyle name="SAPBEXHLevel2X 2 3 4" xfId="51482" xr:uid="{00000000-0005-0000-0000-000098BF0000}"/>
    <cellStyle name="SAPBEXHLevel2X 2 3 5" xfId="49409"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09" xr:uid="{00000000-0005-0000-0000-00009DBF0000}"/>
    <cellStyle name="SAPBEXHLevel2X 2 4" xfId="46427" xr:uid="{00000000-0005-0000-0000-00009EBF0000}"/>
    <cellStyle name="SAPBEXHLevel2X 2 4 2" xfId="46428" xr:uid="{00000000-0005-0000-0000-00009FBF0000}"/>
    <cellStyle name="SAPBEXHLevel2X 2 4 2 2" xfId="50315" xr:uid="{00000000-0005-0000-0000-0000A0BF0000}"/>
    <cellStyle name="SAPBEXHLevel2X 2 4 3" xfId="50812" xr:uid="{00000000-0005-0000-0000-0000A1BF0000}"/>
    <cellStyle name="SAPBEXHLevel2X 2 4 4" xfId="49692" xr:uid="{00000000-0005-0000-0000-0000A2BF0000}"/>
    <cellStyle name="SAPBEXHLevel2X 2 5" xfId="46429" xr:uid="{00000000-0005-0000-0000-0000A3BF0000}"/>
    <cellStyle name="SAPBEXHLevel2X 2 5 2" xfId="46430" xr:uid="{00000000-0005-0000-0000-0000A4BF0000}"/>
    <cellStyle name="SAPBEXHLevel2X 2 5 2 2" xfId="51005" xr:uid="{00000000-0005-0000-0000-0000A5BF0000}"/>
    <cellStyle name="SAPBEXHLevel2X 2 5 3" xfId="51289" xr:uid="{00000000-0005-0000-0000-0000A6BF0000}"/>
    <cellStyle name="SAPBEXHLevel2X 2 5 4" xfId="49960" xr:uid="{00000000-0005-0000-0000-0000A7BF0000}"/>
    <cellStyle name="SAPBEXHLevel2X 2 6" xfId="46431" xr:uid="{00000000-0005-0000-0000-0000A8BF0000}"/>
    <cellStyle name="SAPBEXHLevel2X 2 6 2" xfId="46432" xr:uid="{00000000-0005-0000-0000-0000A9BF0000}"/>
    <cellStyle name="SAPBEXHLevel2X 2 6 3" xfId="50696" xr:uid="{00000000-0005-0000-0000-0000AABF0000}"/>
    <cellStyle name="SAPBEXHLevel2X 2 7" xfId="46433" xr:uid="{00000000-0005-0000-0000-0000ABBF0000}"/>
    <cellStyle name="SAPBEXHLevel2X 2 7 2" xfId="46434" xr:uid="{00000000-0005-0000-0000-0000ACBF0000}"/>
    <cellStyle name="SAPBEXHLevel2X 2 7 3" xfId="50841"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08" xr:uid="{00000000-0005-0000-0000-0000BCBF0000}"/>
    <cellStyle name="SAPBEXHLevel2X 3 10 2" xfId="49736" xr:uid="{00000000-0005-0000-0000-0000BDBF0000}"/>
    <cellStyle name="SAPBEXHLevel2X 3 10 2 2" xfId="50261" xr:uid="{00000000-0005-0000-0000-0000BEBF0000}"/>
    <cellStyle name="SAPBEXHLevel2X 3 10 2 3" xfId="50643" xr:uid="{00000000-0005-0000-0000-0000BFBF0000}"/>
    <cellStyle name="SAPBEXHLevel2X 3 10 3" xfId="50630" xr:uid="{00000000-0005-0000-0000-0000C0BF0000}"/>
    <cellStyle name="SAPBEXHLevel2X 3 10 4" xfId="51225" xr:uid="{00000000-0005-0000-0000-0000C1BF0000}"/>
    <cellStyle name="SAPBEXHLevel2X 3 11" xfId="49693" xr:uid="{00000000-0005-0000-0000-0000C2BF0000}"/>
    <cellStyle name="SAPBEXHLevel2X 3 11 2" xfId="50314" xr:uid="{00000000-0005-0000-0000-0000C3BF0000}"/>
    <cellStyle name="SAPBEXHLevel2X 3 11 3" xfId="51134" xr:uid="{00000000-0005-0000-0000-0000C4BF0000}"/>
    <cellStyle name="SAPBEXHLevel2X 3 12" xfId="49988" xr:uid="{00000000-0005-0000-0000-0000C5BF0000}"/>
    <cellStyle name="SAPBEXHLevel2X 3 12 2" xfId="51033" xr:uid="{00000000-0005-0000-0000-0000C6BF0000}"/>
    <cellStyle name="SAPBEXHLevel2X 3 12 3" xfId="51550" xr:uid="{00000000-0005-0000-0000-0000C7BF0000}"/>
    <cellStyle name="SAPBEXHLevel2X 3 13" xfId="50695" xr:uid="{00000000-0005-0000-0000-0000C8BF0000}"/>
    <cellStyle name="SAPBEXHLevel2X 3 14" xfId="50656" xr:uid="{00000000-0005-0000-0000-0000C9BF0000}"/>
    <cellStyle name="SAPBEXHLevel2X 3 15" xfId="49310" xr:uid="{00000000-0005-0000-0000-0000CABF0000}"/>
    <cellStyle name="SAPBEXHLevel2X 3 2" xfId="46449" xr:uid="{00000000-0005-0000-0000-0000CBBF0000}"/>
    <cellStyle name="SAPBEXHLevel2X 3 2 2" xfId="49555" xr:uid="{00000000-0005-0000-0000-0000CCBF0000}"/>
    <cellStyle name="SAPBEXHLevel2X 3 2 2 2" xfId="49883" xr:uid="{00000000-0005-0000-0000-0000CDBF0000}"/>
    <cellStyle name="SAPBEXHLevel2X 3 2 2 2 2" xfId="50126" xr:uid="{00000000-0005-0000-0000-0000CEBF0000}"/>
    <cellStyle name="SAPBEXHLevel2X 3 2 2 2 3" xfId="51571" xr:uid="{00000000-0005-0000-0000-0000CFBF0000}"/>
    <cellStyle name="SAPBEXHLevel2X 3 2 2 3" xfId="50484" xr:uid="{00000000-0005-0000-0000-0000D0BF0000}"/>
    <cellStyle name="SAPBEXHLevel2X 3 2 2 4" xfId="51362" xr:uid="{00000000-0005-0000-0000-0000D1BF0000}"/>
    <cellStyle name="SAPBEXHLevel2X 3 2 3" xfId="49407" xr:uid="{00000000-0005-0000-0000-0000D2BF0000}"/>
    <cellStyle name="SAPBEXHLevel2X 3 2 3 2" xfId="49735" xr:uid="{00000000-0005-0000-0000-0000D3BF0000}"/>
    <cellStyle name="SAPBEXHLevel2X 3 2 3 2 2" xfId="50262" xr:uid="{00000000-0005-0000-0000-0000D4BF0000}"/>
    <cellStyle name="SAPBEXHLevel2X 3 2 3 2 3" xfId="50913" xr:uid="{00000000-0005-0000-0000-0000D5BF0000}"/>
    <cellStyle name="SAPBEXHLevel2X 3 2 3 3" xfId="50631" xr:uid="{00000000-0005-0000-0000-0000D6BF0000}"/>
    <cellStyle name="SAPBEXHLevel2X 3 2 3 4" xfId="50885" xr:uid="{00000000-0005-0000-0000-0000D7BF0000}"/>
    <cellStyle name="SAPBEXHLevel2X 3 2 4" xfId="49694" xr:uid="{00000000-0005-0000-0000-0000D8BF0000}"/>
    <cellStyle name="SAPBEXHLevel2X 3 2 4 2" xfId="50313" xr:uid="{00000000-0005-0000-0000-0000D9BF0000}"/>
    <cellStyle name="SAPBEXHLevel2X 3 2 4 3" xfId="51260" xr:uid="{00000000-0005-0000-0000-0000DABF0000}"/>
    <cellStyle name="SAPBEXHLevel2X 3 2 5" xfId="50044" xr:uid="{00000000-0005-0000-0000-0000DBBF0000}"/>
    <cellStyle name="SAPBEXHLevel2X 3 2 5 2" xfId="51088" xr:uid="{00000000-0005-0000-0000-0000DCBF0000}"/>
    <cellStyle name="SAPBEXHLevel2X 3 2 5 3" xfId="51555" xr:uid="{00000000-0005-0000-0000-0000DDBF0000}"/>
    <cellStyle name="SAPBEXHLevel2X 3 2 6" xfId="50694" xr:uid="{00000000-0005-0000-0000-0000DEBF0000}"/>
    <cellStyle name="SAPBEXHLevel2X 3 2 7" xfId="50798" xr:uid="{00000000-0005-0000-0000-0000DFBF0000}"/>
    <cellStyle name="SAPBEXHLevel2X 3 2 8" xfId="49311" xr:uid="{00000000-0005-0000-0000-0000E0BF0000}"/>
    <cellStyle name="SAPBEXHLevel2X 3 3" xfId="46450" xr:uid="{00000000-0005-0000-0000-0000E1BF0000}"/>
    <cellStyle name="SAPBEXHLevel2X 3 3 2" xfId="49556" xr:uid="{00000000-0005-0000-0000-0000E2BF0000}"/>
    <cellStyle name="SAPBEXHLevel2X 3 3 2 2" xfId="49884" xr:uid="{00000000-0005-0000-0000-0000E3BF0000}"/>
    <cellStyle name="SAPBEXHLevel2X 3 3 2 2 2" xfId="50125" xr:uid="{00000000-0005-0000-0000-0000E4BF0000}"/>
    <cellStyle name="SAPBEXHLevel2X 3 3 2 2 3" xfId="51401" xr:uid="{00000000-0005-0000-0000-0000E5BF0000}"/>
    <cellStyle name="SAPBEXHLevel2X 3 3 2 3" xfId="50483" xr:uid="{00000000-0005-0000-0000-0000E6BF0000}"/>
    <cellStyle name="SAPBEXHLevel2X 3 3 2 4" xfId="51636" xr:uid="{00000000-0005-0000-0000-0000E7BF0000}"/>
    <cellStyle name="SAPBEXHLevel2X 3 3 3" xfId="49406" xr:uid="{00000000-0005-0000-0000-0000E8BF0000}"/>
    <cellStyle name="SAPBEXHLevel2X 3 3 3 2" xfId="49734" xr:uid="{00000000-0005-0000-0000-0000E9BF0000}"/>
    <cellStyle name="SAPBEXHLevel2X 3 3 3 2 2" xfId="50263" xr:uid="{00000000-0005-0000-0000-0000EABF0000}"/>
    <cellStyle name="SAPBEXHLevel2X 3 3 3 2 3" xfId="51595" xr:uid="{00000000-0005-0000-0000-0000EBBF0000}"/>
    <cellStyle name="SAPBEXHLevel2X 3 3 3 3" xfId="50632" xr:uid="{00000000-0005-0000-0000-0000ECBF0000}"/>
    <cellStyle name="SAPBEXHLevel2X 3 3 3 4" xfId="51655" xr:uid="{00000000-0005-0000-0000-0000EDBF0000}"/>
    <cellStyle name="SAPBEXHLevel2X 3 3 4" xfId="49695" xr:uid="{00000000-0005-0000-0000-0000EEBF0000}"/>
    <cellStyle name="SAPBEXHLevel2X 3 3 4 2" xfId="50312" xr:uid="{00000000-0005-0000-0000-0000EFBF0000}"/>
    <cellStyle name="SAPBEXHLevel2X 3 3 4 3" xfId="51517" xr:uid="{00000000-0005-0000-0000-0000F0BF0000}"/>
    <cellStyle name="SAPBEXHLevel2X 3 3 5" xfId="49987" xr:uid="{00000000-0005-0000-0000-0000F1BF0000}"/>
    <cellStyle name="SAPBEXHLevel2X 3 3 5 2" xfId="51032" xr:uid="{00000000-0005-0000-0000-0000F2BF0000}"/>
    <cellStyle name="SAPBEXHLevel2X 3 3 5 3" xfId="51292" xr:uid="{00000000-0005-0000-0000-0000F3BF0000}"/>
    <cellStyle name="SAPBEXHLevel2X 3 3 6" xfId="50693" xr:uid="{00000000-0005-0000-0000-0000F4BF0000}"/>
    <cellStyle name="SAPBEXHLevel2X 3 3 7" xfId="50962" xr:uid="{00000000-0005-0000-0000-0000F5BF0000}"/>
    <cellStyle name="SAPBEXHLevel2X 3 3 8" xfId="49312" xr:uid="{00000000-0005-0000-0000-0000F6BF0000}"/>
    <cellStyle name="SAPBEXHLevel2X 3 4" xfId="49313" xr:uid="{00000000-0005-0000-0000-0000F7BF0000}"/>
    <cellStyle name="SAPBEXHLevel2X 3 4 2" xfId="49557" xr:uid="{00000000-0005-0000-0000-0000F8BF0000}"/>
    <cellStyle name="SAPBEXHLevel2X 3 4 2 2" xfId="49885" xr:uid="{00000000-0005-0000-0000-0000F9BF0000}"/>
    <cellStyle name="SAPBEXHLevel2X 3 4 2 2 2" xfId="50124" xr:uid="{00000000-0005-0000-0000-0000FABF0000}"/>
    <cellStyle name="SAPBEXHLevel2X 3 4 2 2 3" xfId="51660" xr:uid="{00000000-0005-0000-0000-0000FBBF0000}"/>
    <cellStyle name="SAPBEXHLevel2X 3 4 2 3" xfId="50482" xr:uid="{00000000-0005-0000-0000-0000FCBF0000}"/>
    <cellStyle name="SAPBEXHLevel2X 3 4 2 4" xfId="50888" xr:uid="{00000000-0005-0000-0000-0000FDBF0000}"/>
    <cellStyle name="SAPBEXHLevel2X 3 4 3" xfId="49405" xr:uid="{00000000-0005-0000-0000-0000FEBF0000}"/>
    <cellStyle name="SAPBEXHLevel2X 3 4 3 2" xfId="49733" xr:uid="{00000000-0005-0000-0000-0000FFBF0000}"/>
    <cellStyle name="SAPBEXHLevel2X 3 4 3 2 2" xfId="50264" xr:uid="{00000000-0005-0000-0000-000000C00000}"/>
    <cellStyle name="SAPBEXHLevel2X 3 4 3 2 3" xfId="51380" xr:uid="{00000000-0005-0000-0000-000001C00000}"/>
    <cellStyle name="SAPBEXHLevel2X 3 4 3 3" xfId="50633" xr:uid="{00000000-0005-0000-0000-000002C00000}"/>
    <cellStyle name="SAPBEXHLevel2X 3 4 3 4" xfId="51342" xr:uid="{00000000-0005-0000-0000-000003C00000}"/>
    <cellStyle name="SAPBEXHLevel2X 3 4 4" xfId="49696" xr:uid="{00000000-0005-0000-0000-000004C00000}"/>
    <cellStyle name="SAPBEXHLevel2X 3 4 4 2" xfId="50311" xr:uid="{00000000-0005-0000-0000-000005C00000}"/>
    <cellStyle name="SAPBEXHLevel2X 3 4 4 3" xfId="51172" xr:uid="{00000000-0005-0000-0000-000006C00000}"/>
    <cellStyle name="SAPBEXHLevel2X 3 4 5" xfId="49986" xr:uid="{00000000-0005-0000-0000-000007C00000}"/>
    <cellStyle name="SAPBEXHLevel2X 3 4 5 2" xfId="51031" xr:uid="{00000000-0005-0000-0000-000008C00000}"/>
    <cellStyle name="SAPBEXHLevel2X 3 4 5 3" xfId="51117" xr:uid="{00000000-0005-0000-0000-000009C00000}"/>
    <cellStyle name="SAPBEXHLevel2X 3 4 6" xfId="50692" xr:uid="{00000000-0005-0000-0000-00000AC00000}"/>
    <cellStyle name="SAPBEXHLevel2X 3 4 7" xfId="50842" xr:uid="{00000000-0005-0000-0000-00000BC00000}"/>
    <cellStyle name="SAPBEXHLevel2X 3 5" xfId="49314" xr:uid="{00000000-0005-0000-0000-00000CC00000}"/>
    <cellStyle name="SAPBEXHLevel2X 3 5 2" xfId="49558" xr:uid="{00000000-0005-0000-0000-00000DC00000}"/>
    <cellStyle name="SAPBEXHLevel2X 3 5 2 2" xfId="49886" xr:uid="{00000000-0005-0000-0000-00000EC00000}"/>
    <cellStyle name="SAPBEXHLevel2X 3 5 2 2 2" xfId="50123" xr:uid="{00000000-0005-0000-0000-00000FC00000}"/>
    <cellStyle name="SAPBEXHLevel2X 3 5 2 2 3" xfId="50972" xr:uid="{00000000-0005-0000-0000-000010C00000}"/>
    <cellStyle name="SAPBEXHLevel2X 3 5 2 3" xfId="50481" xr:uid="{00000000-0005-0000-0000-000011C00000}"/>
    <cellStyle name="SAPBEXHLevel2X 3 5 2 4" xfId="51245" xr:uid="{00000000-0005-0000-0000-000012C00000}"/>
    <cellStyle name="SAPBEXHLevel2X 3 5 3" xfId="49404" xr:uid="{00000000-0005-0000-0000-000013C00000}"/>
    <cellStyle name="SAPBEXHLevel2X 3 5 3 2" xfId="49732" xr:uid="{00000000-0005-0000-0000-000014C00000}"/>
    <cellStyle name="SAPBEXHLevel2X 3 5 3 2 2" xfId="50265" xr:uid="{00000000-0005-0000-0000-000015C00000}"/>
    <cellStyle name="SAPBEXHLevel2X 3 5 3 2 3" xfId="51543" xr:uid="{00000000-0005-0000-0000-000016C00000}"/>
    <cellStyle name="SAPBEXHLevel2X 3 5 3 3" xfId="50634" xr:uid="{00000000-0005-0000-0000-000017C00000}"/>
    <cellStyle name="SAPBEXHLevel2X 3 5 3 4" xfId="51475" xr:uid="{00000000-0005-0000-0000-000018C00000}"/>
    <cellStyle name="SAPBEXHLevel2X 3 5 4" xfId="49697" xr:uid="{00000000-0005-0000-0000-000019C00000}"/>
    <cellStyle name="SAPBEXHLevel2X 3 5 4 2" xfId="50310" xr:uid="{00000000-0005-0000-0000-00001AC00000}"/>
    <cellStyle name="SAPBEXHLevel2X 3 5 4 3" xfId="50865" xr:uid="{00000000-0005-0000-0000-00001BC00000}"/>
    <cellStyle name="SAPBEXHLevel2X 3 5 5" xfId="49957" xr:uid="{00000000-0005-0000-0000-00001CC00000}"/>
    <cellStyle name="SAPBEXHLevel2X 3 5 5 2" xfId="51002" xr:uid="{00000000-0005-0000-0000-00001DC00000}"/>
    <cellStyle name="SAPBEXHLevel2X 3 5 5 3" xfId="51406" xr:uid="{00000000-0005-0000-0000-00001EC00000}"/>
    <cellStyle name="SAPBEXHLevel2X 3 5 6" xfId="50691" xr:uid="{00000000-0005-0000-0000-00001FC00000}"/>
    <cellStyle name="SAPBEXHLevel2X 3 5 7" xfId="50799" xr:uid="{00000000-0005-0000-0000-000020C00000}"/>
    <cellStyle name="SAPBEXHLevel2X 3 6" xfId="49315" xr:uid="{00000000-0005-0000-0000-000021C00000}"/>
    <cellStyle name="SAPBEXHLevel2X 3 6 2" xfId="49559" xr:uid="{00000000-0005-0000-0000-000022C00000}"/>
    <cellStyle name="SAPBEXHLevel2X 3 6 2 2" xfId="49887" xr:uid="{00000000-0005-0000-0000-000023C00000}"/>
    <cellStyle name="SAPBEXHLevel2X 3 6 2 2 2" xfId="50122" xr:uid="{00000000-0005-0000-0000-000024C00000}"/>
    <cellStyle name="SAPBEXHLevel2X 3 6 2 2 3" xfId="51283" xr:uid="{00000000-0005-0000-0000-000025C00000}"/>
    <cellStyle name="SAPBEXHLevel2X 3 6 2 3" xfId="50480" xr:uid="{00000000-0005-0000-0000-000026C00000}"/>
    <cellStyle name="SAPBEXHLevel2X 3 6 2 4" xfId="51502" xr:uid="{00000000-0005-0000-0000-000027C00000}"/>
    <cellStyle name="SAPBEXHLevel2X 3 6 3" xfId="49403" xr:uid="{00000000-0005-0000-0000-000028C00000}"/>
    <cellStyle name="SAPBEXHLevel2X 3 6 3 2" xfId="49731" xr:uid="{00000000-0005-0000-0000-000029C00000}"/>
    <cellStyle name="SAPBEXHLevel2X 3 6 3 2 2" xfId="50266" xr:uid="{00000000-0005-0000-0000-00002AC00000}"/>
    <cellStyle name="SAPBEXHLevel2X 3 6 3 2 3" xfId="51285" xr:uid="{00000000-0005-0000-0000-00002BC00000}"/>
    <cellStyle name="SAPBEXHLevel2X 3 6 3 3" xfId="50635" xr:uid="{00000000-0005-0000-0000-00002CC00000}"/>
    <cellStyle name="SAPBEXHLevel2X 3 6 3 4" xfId="51219" xr:uid="{00000000-0005-0000-0000-00002DC00000}"/>
    <cellStyle name="SAPBEXHLevel2X 3 6 4" xfId="49698" xr:uid="{00000000-0005-0000-0000-00002EC00000}"/>
    <cellStyle name="SAPBEXHLevel2X 3 6 4 2" xfId="50309" xr:uid="{00000000-0005-0000-0000-00002FC00000}"/>
    <cellStyle name="SAPBEXHLevel2X 3 6 4 3" xfId="51431" xr:uid="{00000000-0005-0000-0000-000030C00000}"/>
    <cellStyle name="SAPBEXHLevel2X 3 6 5" xfId="49985" xr:uid="{00000000-0005-0000-0000-000031C00000}"/>
    <cellStyle name="SAPBEXHLevel2X 3 6 5 2" xfId="51030" xr:uid="{00000000-0005-0000-0000-000032C00000}"/>
    <cellStyle name="SAPBEXHLevel2X 3 6 5 3" xfId="51606" xr:uid="{00000000-0005-0000-0000-000033C00000}"/>
    <cellStyle name="SAPBEXHLevel2X 3 6 6" xfId="50690" xr:uid="{00000000-0005-0000-0000-000034C00000}"/>
    <cellStyle name="SAPBEXHLevel2X 3 6 7" xfId="50843" xr:uid="{00000000-0005-0000-0000-000035C00000}"/>
    <cellStyle name="SAPBEXHLevel2X 3 7" xfId="49316" xr:uid="{00000000-0005-0000-0000-000036C00000}"/>
    <cellStyle name="SAPBEXHLevel2X 3 7 2" xfId="49560" xr:uid="{00000000-0005-0000-0000-000037C00000}"/>
    <cellStyle name="SAPBEXHLevel2X 3 7 2 2" xfId="49888" xr:uid="{00000000-0005-0000-0000-000038C00000}"/>
    <cellStyle name="SAPBEXHLevel2X 3 7 2 2 2" xfId="50121" xr:uid="{00000000-0005-0000-0000-000039C00000}"/>
    <cellStyle name="SAPBEXHLevel2X 3 7 2 2 3" xfId="51541" xr:uid="{00000000-0005-0000-0000-00003AC00000}"/>
    <cellStyle name="SAPBEXHLevel2X 3 7 2 3" xfId="50479" xr:uid="{00000000-0005-0000-0000-00003BC00000}"/>
    <cellStyle name="SAPBEXHLevel2X 3 7 2 4" xfId="51185" xr:uid="{00000000-0005-0000-0000-00003CC00000}"/>
    <cellStyle name="SAPBEXHLevel2X 3 7 3" xfId="49589" xr:uid="{00000000-0005-0000-0000-00003DC00000}"/>
    <cellStyle name="SAPBEXHLevel2X 3 7 3 2" xfId="49917" xr:uid="{00000000-0005-0000-0000-00003EC00000}"/>
    <cellStyle name="SAPBEXHLevel2X 3 7 3 2 2" xfId="50092" xr:uid="{00000000-0005-0000-0000-00003FC00000}"/>
    <cellStyle name="SAPBEXHLevel2X 3 7 3 2 3" xfId="51105" xr:uid="{00000000-0005-0000-0000-000040C00000}"/>
    <cellStyle name="SAPBEXHLevel2X 3 7 3 3" xfId="50450" xr:uid="{00000000-0005-0000-0000-000041C00000}"/>
    <cellStyle name="SAPBEXHLevel2X 3 7 3 4" xfId="51439" xr:uid="{00000000-0005-0000-0000-000042C00000}"/>
    <cellStyle name="SAPBEXHLevel2X 3 7 4" xfId="49699" xr:uid="{00000000-0005-0000-0000-000043C00000}"/>
    <cellStyle name="SAPBEXHLevel2X 3 7 4 2" xfId="50282" xr:uid="{00000000-0005-0000-0000-000044C00000}"/>
    <cellStyle name="SAPBEXHLevel2X 3 7 4 3" xfId="51378" xr:uid="{00000000-0005-0000-0000-000045C00000}"/>
    <cellStyle name="SAPBEXHLevel2X 3 7 5" xfId="49984" xr:uid="{00000000-0005-0000-0000-000046C00000}"/>
    <cellStyle name="SAPBEXHLevel2X 3 7 5 2" xfId="51029" xr:uid="{00000000-0005-0000-0000-000047C00000}"/>
    <cellStyle name="SAPBEXHLevel2X 3 7 5 3" xfId="51409" xr:uid="{00000000-0005-0000-0000-000048C00000}"/>
    <cellStyle name="SAPBEXHLevel2X 3 7 6" xfId="50689" xr:uid="{00000000-0005-0000-0000-000049C00000}"/>
    <cellStyle name="SAPBEXHLevel2X 3 7 7" xfId="50800" xr:uid="{00000000-0005-0000-0000-00004AC00000}"/>
    <cellStyle name="SAPBEXHLevel2X 3 8" xfId="49317" xr:uid="{00000000-0005-0000-0000-00004BC00000}"/>
    <cellStyle name="SAPBEXHLevel2X 3 8 2" xfId="49561" xr:uid="{00000000-0005-0000-0000-00004CC00000}"/>
    <cellStyle name="SAPBEXHLevel2X 3 8 2 2" xfId="49889" xr:uid="{00000000-0005-0000-0000-00004DC00000}"/>
    <cellStyle name="SAPBEXHLevel2X 3 8 2 2 2" xfId="50120" xr:uid="{00000000-0005-0000-0000-00004EC00000}"/>
    <cellStyle name="SAPBEXHLevel2X 3 8 2 2 3" xfId="51315" xr:uid="{00000000-0005-0000-0000-00004FC00000}"/>
    <cellStyle name="SAPBEXHLevel2X 3 8 2 3" xfId="50478" xr:uid="{00000000-0005-0000-0000-000050C00000}"/>
    <cellStyle name="SAPBEXHLevel2X 3 8 2 4" xfId="51443" xr:uid="{00000000-0005-0000-0000-000051C00000}"/>
    <cellStyle name="SAPBEXHLevel2X 3 8 3" xfId="49402" xr:uid="{00000000-0005-0000-0000-000052C00000}"/>
    <cellStyle name="SAPBEXHLevel2X 3 8 3 2" xfId="49730" xr:uid="{00000000-0005-0000-0000-000053C00000}"/>
    <cellStyle name="SAPBEXHLevel2X 3 8 3 2 2" xfId="50267" xr:uid="{00000000-0005-0000-0000-000054C00000}"/>
    <cellStyle name="SAPBEXHLevel2X 3 8 3 2 3" xfId="51429" xr:uid="{00000000-0005-0000-0000-000055C00000}"/>
    <cellStyle name="SAPBEXHLevel2X 3 8 3 3" xfId="50636" xr:uid="{00000000-0005-0000-0000-000056C00000}"/>
    <cellStyle name="SAPBEXHLevel2X 3 8 3 4" xfId="51464" xr:uid="{00000000-0005-0000-0000-000057C00000}"/>
    <cellStyle name="SAPBEXHLevel2X 3 8 4" xfId="49700" xr:uid="{00000000-0005-0000-0000-000058C00000}"/>
    <cellStyle name="SAPBEXHLevel2X 3 8 4 2" xfId="50281" xr:uid="{00000000-0005-0000-0000-000059C00000}"/>
    <cellStyle name="SAPBEXHLevel2X 3 8 4 3" xfId="51598" xr:uid="{00000000-0005-0000-0000-00005AC00000}"/>
    <cellStyle name="SAPBEXHLevel2X 3 8 5" xfId="50052" xr:uid="{00000000-0005-0000-0000-00005BC00000}"/>
    <cellStyle name="SAPBEXHLevel2X 3 8 5 2" xfId="51096" xr:uid="{00000000-0005-0000-0000-00005CC00000}"/>
    <cellStyle name="SAPBEXHLevel2X 3 8 5 3" xfId="51298" xr:uid="{00000000-0005-0000-0000-00005DC00000}"/>
    <cellStyle name="SAPBEXHLevel2X 3 8 6" xfId="50688" xr:uid="{00000000-0005-0000-0000-00005EC00000}"/>
    <cellStyle name="SAPBEXHLevel2X 3 8 7" xfId="50844" xr:uid="{00000000-0005-0000-0000-00005FC00000}"/>
    <cellStyle name="SAPBEXHLevel2X 3 9" xfId="49554" xr:uid="{00000000-0005-0000-0000-000060C00000}"/>
    <cellStyle name="SAPBEXHLevel2X 3 9 2" xfId="49882" xr:uid="{00000000-0005-0000-0000-000061C00000}"/>
    <cellStyle name="SAPBEXHLevel2X 3 9 2 2" xfId="50127" xr:uid="{00000000-0005-0000-0000-000062C00000}"/>
    <cellStyle name="SAPBEXHLevel2X 3 9 2 3" xfId="51314" xr:uid="{00000000-0005-0000-0000-000063C00000}"/>
    <cellStyle name="SAPBEXHLevel2X 3 9 3" xfId="50485" xr:uid="{00000000-0005-0000-0000-000064C00000}"/>
    <cellStyle name="SAPBEXHLevel2X 3 9 4" xfId="51444"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08" xr:uid="{00000000-0005-0000-0000-00006AC00000}"/>
    <cellStyle name="SAPBEXHLevel2X 4" xfId="46455" xr:uid="{00000000-0005-0000-0000-00006BC00000}"/>
    <cellStyle name="SAPBEXHLevel2X 4 2" xfId="46456" xr:uid="{00000000-0005-0000-0000-00006CC00000}"/>
    <cellStyle name="SAPBEXHLevel2X 4 2 2" xfId="50129" xr:uid="{00000000-0005-0000-0000-00006DC00000}"/>
    <cellStyle name="SAPBEXHLevel2X 4 2 3" xfId="51282" xr:uid="{00000000-0005-0000-0000-00006EC00000}"/>
    <cellStyle name="SAPBEXHLevel2X 4 2 4" xfId="49880" xr:uid="{00000000-0005-0000-0000-00006FC00000}"/>
    <cellStyle name="SAPBEXHLevel2X 4 3" xfId="50487" xr:uid="{00000000-0005-0000-0000-000070C00000}"/>
    <cellStyle name="SAPBEXHLevel2X 4 4" xfId="51501" xr:uid="{00000000-0005-0000-0000-000071C00000}"/>
    <cellStyle name="SAPBEXHLevel2X 4 5" xfId="49552" xr:uid="{00000000-0005-0000-0000-000072C00000}"/>
    <cellStyle name="SAPBEXHLevel2X 5" xfId="46457" xr:uid="{00000000-0005-0000-0000-000073C00000}"/>
    <cellStyle name="SAPBEXHLevel2X 5 2" xfId="46458" xr:uid="{00000000-0005-0000-0000-000074C00000}"/>
    <cellStyle name="SAPBEXHLevel2X 5 2 2" xfId="50259" xr:uid="{00000000-0005-0000-0000-000075C00000}"/>
    <cellStyle name="SAPBEXHLevel2X 5 2 3" xfId="51522" xr:uid="{00000000-0005-0000-0000-000076C00000}"/>
    <cellStyle name="SAPBEXHLevel2X 5 2 4" xfId="49738" xr:uid="{00000000-0005-0000-0000-000077C00000}"/>
    <cellStyle name="SAPBEXHLevel2X 5 3" xfId="50628" xr:uid="{00000000-0005-0000-0000-000078C00000}"/>
    <cellStyle name="SAPBEXHLevel2X 5 4" xfId="51205" xr:uid="{00000000-0005-0000-0000-000079C00000}"/>
    <cellStyle name="SAPBEXHLevel2X 5 5" xfId="49410" xr:uid="{00000000-0005-0000-0000-00007AC00000}"/>
    <cellStyle name="SAPBEXHLevel2X 6" xfId="46459" xr:uid="{00000000-0005-0000-0000-00007BC00000}"/>
    <cellStyle name="SAPBEXHLevel2X 6 2" xfId="46460" xr:uid="{00000000-0005-0000-0000-00007CC00000}"/>
    <cellStyle name="SAPBEXHLevel2X 6 2 2" xfId="50316" xr:uid="{00000000-0005-0000-0000-00007DC00000}"/>
    <cellStyle name="SAPBEXHLevel2X 6 3" xfId="51624" xr:uid="{00000000-0005-0000-0000-00007EC00000}"/>
    <cellStyle name="SAPBEXHLevel2X 6 4" xfId="49691" xr:uid="{00000000-0005-0000-0000-00007FC00000}"/>
    <cellStyle name="SAPBEXHLevel2X 7" xfId="46461" xr:uid="{00000000-0005-0000-0000-000080C00000}"/>
    <cellStyle name="SAPBEXHLevel2X 7 2" xfId="46462" xr:uid="{00000000-0005-0000-0000-000081C00000}"/>
    <cellStyle name="SAPBEXHLevel2X 7 2 2" xfId="51034" xr:uid="{00000000-0005-0000-0000-000082C00000}"/>
    <cellStyle name="SAPBEXHLevel2X 7 3" xfId="51323" xr:uid="{00000000-0005-0000-0000-000083C00000}"/>
    <cellStyle name="SAPBEXHLevel2X 7 4" xfId="49989" xr:uid="{00000000-0005-0000-0000-000084C00000}"/>
    <cellStyle name="SAPBEXHLevel2X 8" xfId="46463" xr:uid="{00000000-0005-0000-0000-000085C00000}"/>
    <cellStyle name="SAPBEXHLevel2X 8 2" xfId="46464" xr:uid="{00000000-0005-0000-0000-000086C00000}"/>
    <cellStyle name="SAPBEXHLevel2X 8 3" xfId="50697" xr:uid="{00000000-0005-0000-0000-000087C00000}"/>
    <cellStyle name="SAPBEXHLevel2X 9" xfId="46465" xr:uid="{00000000-0005-0000-0000-000088C00000}"/>
    <cellStyle name="SAPBEXHLevel2X 9 2" xfId="46466" xr:uid="{00000000-0005-0000-0000-000089C00000}"/>
    <cellStyle name="SAPBEXHLevel2X 9 3" xfId="50797"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37"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18" xr:uid="{00000000-0005-0000-0000-0000A5C00000}"/>
    <cellStyle name="SAPBEXHLevel3 2 2 2 3" xfId="51402" xr:uid="{00000000-0005-0000-0000-0000A6C00000}"/>
    <cellStyle name="SAPBEXHLevel3 2 2 2 4" xfId="49891" xr:uid="{00000000-0005-0000-0000-0000A7C00000}"/>
    <cellStyle name="SAPBEXHLevel3 2 2 3" xfId="46491" xr:uid="{00000000-0005-0000-0000-0000A8C00000}"/>
    <cellStyle name="SAPBEXHLevel3 2 2 3 2" xfId="50476" xr:uid="{00000000-0005-0000-0000-0000A9C00000}"/>
    <cellStyle name="SAPBEXHLevel3 2 2 4" xfId="51635" xr:uid="{00000000-0005-0000-0000-0000AAC00000}"/>
    <cellStyle name="SAPBEXHLevel3 2 2 5" xfId="49563"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3" xr:uid="{00000000-0005-0000-0000-0000B8C00000}"/>
    <cellStyle name="SAPBEXHLevel3 2 3 2 3" xfId="51151" xr:uid="{00000000-0005-0000-0000-0000B9C00000}"/>
    <cellStyle name="SAPBEXHLevel3 2 3 2 4" xfId="49916" xr:uid="{00000000-0005-0000-0000-0000BAC00000}"/>
    <cellStyle name="SAPBEXHLevel3 2 3 3" xfId="50451" xr:uid="{00000000-0005-0000-0000-0000BBC00000}"/>
    <cellStyle name="SAPBEXHLevel3 2 3 4" xfId="51181" xr:uid="{00000000-0005-0000-0000-0000BCC00000}"/>
    <cellStyle name="SAPBEXHLevel3 2 3 5" xfId="49588"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19" xr:uid="{00000000-0005-0000-0000-0000C1C00000}"/>
    <cellStyle name="SAPBEXHLevel3 2 4" xfId="46507" xr:uid="{00000000-0005-0000-0000-0000C2C00000}"/>
    <cellStyle name="SAPBEXHLevel3 2 4 2" xfId="46508" xr:uid="{00000000-0005-0000-0000-0000C3C00000}"/>
    <cellStyle name="SAPBEXHLevel3 2 4 2 2" xfId="50279" xr:uid="{00000000-0005-0000-0000-0000C4C00000}"/>
    <cellStyle name="SAPBEXHLevel3 2 4 3" xfId="50935" xr:uid="{00000000-0005-0000-0000-0000C5C00000}"/>
    <cellStyle name="SAPBEXHLevel3 2 4 4" xfId="49702" xr:uid="{00000000-0005-0000-0000-0000C6C00000}"/>
    <cellStyle name="SAPBEXHLevel3 2 5" xfId="46509" xr:uid="{00000000-0005-0000-0000-0000C7C00000}"/>
    <cellStyle name="SAPBEXHLevel3 2 5 2" xfId="46510" xr:uid="{00000000-0005-0000-0000-0000C8C00000}"/>
    <cellStyle name="SAPBEXHLevel3 2 5 2 2" xfId="51095" xr:uid="{00000000-0005-0000-0000-0000C9C00000}"/>
    <cellStyle name="SAPBEXHLevel3 2 5 3" xfId="51131" xr:uid="{00000000-0005-0000-0000-0000CAC00000}"/>
    <cellStyle name="SAPBEXHLevel3 2 5 4" xfId="50051" xr:uid="{00000000-0005-0000-0000-0000CBC00000}"/>
    <cellStyle name="SAPBEXHLevel3 2 6" xfId="46511" xr:uid="{00000000-0005-0000-0000-0000CCC00000}"/>
    <cellStyle name="SAPBEXHLevel3 2 6 2" xfId="46512" xr:uid="{00000000-0005-0000-0000-0000CDC00000}"/>
    <cellStyle name="SAPBEXHLevel3 2 6 3" xfId="50686" xr:uid="{00000000-0005-0000-0000-0000CEC00000}"/>
    <cellStyle name="SAPBEXHLevel3 2 7" xfId="46513" xr:uid="{00000000-0005-0000-0000-0000CFC00000}"/>
    <cellStyle name="SAPBEXHLevel3 2 7 2" xfId="46514" xr:uid="{00000000-0005-0000-0000-0000D0C00000}"/>
    <cellStyle name="SAPBEXHLevel3 2 7 3" xfId="50839"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19" xr:uid="{00000000-0005-0000-0000-0000E1C00000}"/>
    <cellStyle name="SAPBEXHLevel3 3 2 3" xfId="51572" xr:uid="{00000000-0005-0000-0000-0000E2C00000}"/>
    <cellStyle name="SAPBEXHLevel3 3 2 4" xfId="49890" xr:uid="{00000000-0005-0000-0000-0000E3C00000}"/>
    <cellStyle name="SAPBEXHLevel3 3 3" xfId="46530" xr:uid="{00000000-0005-0000-0000-0000E4C00000}"/>
    <cellStyle name="SAPBEXHLevel3 3 3 2" xfId="50477" xr:uid="{00000000-0005-0000-0000-0000E5C00000}"/>
    <cellStyle name="SAPBEXHLevel3 3 4" xfId="51363" xr:uid="{00000000-0005-0000-0000-0000E6C00000}"/>
    <cellStyle name="SAPBEXHLevel3 3 5" xfId="49562"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18" xr:uid="{00000000-0005-0000-0000-0000ECC00000}"/>
    <cellStyle name="SAPBEXHLevel3 4" xfId="46535" xr:uid="{00000000-0005-0000-0000-0000EDC00000}"/>
    <cellStyle name="SAPBEXHLevel3 4 2" xfId="46536" xr:uid="{00000000-0005-0000-0000-0000EEC00000}"/>
    <cellStyle name="SAPBEXHLevel3 4 2 2" xfId="50268" xr:uid="{00000000-0005-0000-0000-0000EFC00000}"/>
    <cellStyle name="SAPBEXHLevel3 4 2 3" xfId="51170" xr:uid="{00000000-0005-0000-0000-0000F0C00000}"/>
    <cellStyle name="SAPBEXHLevel3 4 2 4" xfId="49729" xr:uid="{00000000-0005-0000-0000-0000F1C00000}"/>
    <cellStyle name="SAPBEXHLevel3 4 3" xfId="50637" xr:uid="{00000000-0005-0000-0000-0000F2C00000}"/>
    <cellStyle name="SAPBEXHLevel3 4 4" xfId="51206" xr:uid="{00000000-0005-0000-0000-0000F3C00000}"/>
    <cellStyle name="SAPBEXHLevel3 4 5" xfId="49401" xr:uid="{00000000-0005-0000-0000-0000F4C00000}"/>
    <cellStyle name="SAPBEXHLevel3 5" xfId="46537" xr:uid="{00000000-0005-0000-0000-0000F5C00000}"/>
    <cellStyle name="SAPBEXHLevel3 5 2" xfId="46538" xr:uid="{00000000-0005-0000-0000-0000F6C00000}"/>
    <cellStyle name="SAPBEXHLevel3 5 2 2" xfId="50994" xr:uid="{00000000-0005-0000-0000-0000F7C00000}"/>
    <cellStyle name="SAPBEXHLevel3 5 2 3" xfId="51112" xr:uid="{00000000-0005-0000-0000-0000F8C00000}"/>
    <cellStyle name="SAPBEXHLevel3 5 2 4" xfId="49949" xr:uid="{00000000-0005-0000-0000-0000F9C00000}"/>
    <cellStyle name="SAPBEXHLevel3 5 3" xfId="50055" xr:uid="{00000000-0005-0000-0000-0000FAC00000}"/>
    <cellStyle name="SAPBEXHLevel3 5 4" xfId="51133" xr:uid="{00000000-0005-0000-0000-0000FBC00000}"/>
    <cellStyle name="SAPBEXHLevel3 5 5" xfId="49621" xr:uid="{00000000-0005-0000-0000-0000FCC00000}"/>
    <cellStyle name="SAPBEXHLevel3 6" xfId="46539" xr:uid="{00000000-0005-0000-0000-0000FDC00000}"/>
    <cellStyle name="SAPBEXHLevel3 6 2" xfId="46540" xr:uid="{00000000-0005-0000-0000-0000FEC00000}"/>
    <cellStyle name="SAPBEXHLevel3 6 2 2" xfId="50280" xr:uid="{00000000-0005-0000-0000-0000FFC00000}"/>
    <cellStyle name="SAPBEXHLevel3 6 3" xfId="50875" xr:uid="{00000000-0005-0000-0000-000000C10000}"/>
    <cellStyle name="SAPBEXHLevel3 6 4" xfId="49701" xr:uid="{00000000-0005-0000-0000-000001C10000}"/>
    <cellStyle name="SAPBEXHLevel3 7" xfId="46541" xr:uid="{00000000-0005-0000-0000-000002C10000}"/>
    <cellStyle name="SAPBEXHLevel3 7 2" xfId="46542" xr:uid="{00000000-0005-0000-0000-000003C10000}"/>
    <cellStyle name="SAPBEXHLevel3 7 2 2" xfId="51097" xr:uid="{00000000-0005-0000-0000-000004C10000}"/>
    <cellStyle name="SAPBEXHLevel3 7 3" xfId="51670" xr:uid="{00000000-0005-0000-0000-000005C10000}"/>
    <cellStyle name="SAPBEXHLevel3 7 4" xfId="50053" xr:uid="{00000000-0005-0000-0000-000006C10000}"/>
    <cellStyle name="SAPBEXHLevel3 8" xfId="46543" xr:uid="{00000000-0005-0000-0000-000007C10000}"/>
    <cellStyle name="SAPBEXHLevel3 8 2" xfId="46544" xr:uid="{00000000-0005-0000-0000-000008C10000}"/>
    <cellStyle name="SAPBEXHLevel3 8 3" xfId="50687" xr:uid="{00000000-0005-0000-0000-000009C10000}"/>
    <cellStyle name="SAPBEXHLevel3 9" xfId="46545" xr:uid="{00000000-0005-0000-0000-00000AC10000}"/>
    <cellStyle name="SAPBEXHLevel3 9 2" xfId="46546" xr:uid="{00000000-0005-0000-0000-00000BC10000}"/>
    <cellStyle name="SAPBEXHLevel3 9 3" xfId="50845"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6" xr:uid="{00000000-0005-0000-0000-000026C10000}"/>
    <cellStyle name="SAPBEXHLevel3X 2 2 2 3" xfId="51098" xr:uid="{00000000-0005-0000-0000-000027C10000}"/>
    <cellStyle name="SAPBEXHLevel3X 2 2 2 4" xfId="49893" xr:uid="{00000000-0005-0000-0000-000028C10000}"/>
    <cellStyle name="SAPBEXHLevel3X 2 2 3" xfId="46571" xr:uid="{00000000-0005-0000-0000-000029C10000}"/>
    <cellStyle name="SAPBEXHLevel3X 2 2 3 2" xfId="50474" xr:uid="{00000000-0005-0000-0000-00002AC10000}"/>
    <cellStyle name="SAPBEXHLevel3X 2 2 4" xfId="51246" xr:uid="{00000000-0005-0000-0000-00002BC10000}"/>
    <cellStyle name="SAPBEXHLevel3X 2 2 5" xfId="49565"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5" xr:uid="{00000000-0005-0000-0000-000039C10000}"/>
    <cellStyle name="SAPBEXHLevel3X 2 3 2 3" xfId="51147" xr:uid="{00000000-0005-0000-0000-00003AC10000}"/>
    <cellStyle name="SAPBEXHLevel3X 2 3 2 4" xfId="49927" xr:uid="{00000000-0005-0000-0000-00003BC10000}"/>
    <cellStyle name="SAPBEXHLevel3X 2 3 3" xfId="50440" xr:uid="{00000000-0005-0000-0000-00003CC10000}"/>
    <cellStyle name="SAPBEXHLevel3X 2 3 4" xfId="51640" xr:uid="{00000000-0005-0000-0000-00003DC10000}"/>
    <cellStyle name="SAPBEXHLevel3X 2 3 5" xfId="49599"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1" xr:uid="{00000000-0005-0000-0000-000042C10000}"/>
    <cellStyle name="SAPBEXHLevel3X 2 4" xfId="46587" xr:uid="{00000000-0005-0000-0000-000043C10000}"/>
    <cellStyle name="SAPBEXHLevel3X 2 4 2" xfId="46588" xr:uid="{00000000-0005-0000-0000-000044C10000}"/>
    <cellStyle name="SAPBEXHLevel3X 2 4 2 2" xfId="50277" xr:uid="{00000000-0005-0000-0000-000045C10000}"/>
    <cellStyle name="SAPBEXHLevel3X 2 4 3" xfId="50853" xr:uid="{00000000-0005-0000-0000-000046C10000}"/>
    <cellStyle name="SAPBEXHLevel3X 2 4 4" xfId="49704" xr:uid="{00000000-0005-0000-0000-000047C10000}"/>
    <cellStyle name="SAPBEXHLevel3X 2 5" xfId="46589" xr:uid="{00000000-0005-0000-0000-000048C10000}"/>
    <cellStyle name="SAPBEXHLevel3X 2 5 2" xfId="46590" xr:uid="{00000000-0005-0000-0000-000049C10000}"/>
    <cellStyle name="SAPBEXHLevel3X 2 5 2 2" xfId="51028" xr:uid="{00000000-0005-0000-0000-00004AC10000}"/>
    <cellStyle name="SAPBEXHLevel3X 2 5 3" xfId="51588" xr:uid="{00000000-0005-0000-0000-00004BC10000}"/>
    <cellStyle name="SAPBEXHLevel3X 2 5 4" xfId="49983" xr:uid="{00000000-0005-0000-0000-00004CC10000}"/>
    <cellStyle name="SAPBEXHLevel3X 2 6" xfId="46591" xr:uid="{00000000-0005-0000-0000-00004DC10000}"/>
    <cellStyle name="SAPBEXHLevel3X 2 6 2" xfId="46592" xr:uid="{00000000-0005-0000-0000-00004EC10000}"/>
    <cellStyle name="SAPBEXHLevel3X 2 6 3" xfId="50684" xr:uid="{00000000-0005-0000-0000-00004FC10000}"/>
    <cellStyle name="SAPBEXHLevel3X 2 7" xfId="46593" xr:uid="{00000000-0005-0000-0000-000050C10000}"/>
    <cellStyle name="SAPBEXHLevel3X 2 7 2" xfId="46594" xr:uid="{00000000-0005-0000-0000-000051C10000}"/>
    <cellStyle name="SAPBEXHLevel3X 2 7 3" xfId="51142"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0" xr:uid="{00000000-0005-0000-0000-000061C10000}"/>
    <cellStyle name="SAPBEXHLevel3X 3 10 2" xfId="49928" xr:uid="{00000000-0005-0000-0000-000062C10000}"/>
    <cellStyle name="SAPBEXHLevel3X 3 10 2 2" xfId="50084" xr:uid="{00000000-0005-0000-0000-000063C10000}"/>
    <cellStyle name="SAPBEXHLevel3X 3 10 2 3" xfId="51109" xr:uid="{00000000-0005-0000-0000-000064C10000}"/>
    <cellStyle name="SAPBEXHLevel3X 3 10 3" xfId="50439" xr:uid="{00000000-0005-0000-0000-000065C10000}"/>
    <cellStyle name="SAPBEXHLevel3X 3 10 4" xfId="50874" xr:uid="{00000000-0005-0000-0000-000066C10000}"/>
    <cellStyle name="SAPBEXHLevel3X 3 11" xfId="49705" xr:uid="{00000000-0005-0000-0000-000067C10000}"/>
    <cellStyle name="SAPBEXHLevel3X 3 11 2" xfId="50276" xr:uid="{00000000-0005-0000-0000-000068C10000}"/>
    <cellStyle name="SAPBEXHLevel3X 3 11 3" xfId="51518" xr:uid="{00000000-0005-0000-0000-000069C10000}"/>
    <cellStyle name="SAPBEXHLevel3X 3 12" xfId="49982" xr:uid="{00000000-0005-0000-0000-00006AC10000}"/>
    <cellStyle name="SAPBEXHLevel3X 3 12 2" xfId="51027" xr:uid="{00000000-0005-0000-0000-00006BC10000}"/>
    <cellStyle name="SAPBEXHLevel3X 3 12 3" xfId="51333" xr:uid="{00000000-0005-0000-0000-00006CC10000}"/>
    <cellStyle name="SAPBEXHLevel3X 3 13" xfId="50683" xr:uid="{00000000-0005-0000-0000-00006DC10000}"/>
    <cellStyle name="SAPBEXHLevel3X 3 14" xfId="50838" xr:uid="{00000000-0005-0000-0000-00006EC10000}"/>
    <cellStyle name="SAPBEXHLevel3X 3 15" xfId="49322" xr:uid="{00000000-0005-0000-0000-00006FC10000}"/>
    <cellStyle name="SAPBEXHLevel3X 3 2" xfId="46609" xr:uid="{00000000-0005-0000-0000-000070C10000}"/>
    <cellStyle name="SAPBEXHLevel3X 3 2 2" xfId="49567" xr:uid="{00000000-0005-0000-0000-000071C10000}"/>
    <cellStyle name="SAPBEXHLevel3X 3 2 2 2" xfId="49895" xr:uid="{00000000-0005-0000-0000-000072C10000}"/>
    <cellStyle name="SAPBEXHLevel3X 3 2 2 2 2" xfId="50114" xr:uid="{00000000-0005-0000-0000-000073C10000}"/>
    <cellStyle name="SAPBEXHLevel3X 3 2 2 2 3" xfId="51542" xr:uid="{00000000-0005-0000-0000-000074C10000}"/>
    <cellStyle name="SAPBEXHLevel3X 3 2 2 3" xfId="50472" xr:uid="{00000000-0005-0000-0000-000075C10000}"/>
    <cellStyle name="SAPBEXHLevel3X 3 2 2 4" xfId="51184" xr:uid="{00000000-0005-0000-0000-000076C10000}"/>
    <cellStyle name="SAPBEXHLevel3X 3 2 3" xfId="49601" xr:uid="{00000000-0005-0000-0000-000077C10000}"/>
    <cellStyle name="SAPBEXHLevel3X 3 2 3 2" xfId="49929" xr:uid="{00000000-0005-0000-0000-000078C10000}"/>
    <cellStyle name="SAPBEXHLevel3X 3 2 3 2 2" xfId="50083" xr:uid="{00000000-0005-0000-0000-000079C10000}"/>
    <cellStyle name="SAPBEXHLevel3X 3 2 3 2 3" xfId="51110" xr:uid="{00000000-0005-0000-0000-00007AC10000}"/>
    <cellStyle name="SAPBEXHLevel3X 3 2 3 3" xfId="50438" xr:uid="{00000000-0005-0000-0000-00007BC10000}"/>
    <cellStyle name="SAPBEXHLevel3X 3 2 3 4" xfId="50948" xr:uid="{00000000-0005-0000-0000-00007CC10000}"/>
    <cellStyle name="SAPBEXHLevel3X 3 2 4" xfId="49706" xr:uid="{00000000-0005-0000-0000-00007DC10000}"/>
    <cellStyle name="SAPBEXHLevel3X 3 2 4 2" xfId="50275" xr:uid="{00000000-0005-0000-0000-00007EC10000}"/>
    <cellStyle name="SAPBEXHLevel3X 3 2 4 3" xfId="51171" xr:uid="{00000000-0005-0000-0000-00007FC10000}"/>
    <cellStyle name="SAPBEXHLevel3X 3 2 5" xfId="49981" xr:uid="{00000000-0005-0000-0000-000080C10000}"/>
    <cellStyle name="SAPBEXHLevel3X 3 2 5 2" xfId="51026" xr:uid="{00000000-0005-0000-0000-000081C10000}"/>
    <cellStyle name="SAPBEXHLevel3X 3 2 5 3" xfId="51579" xr:uid="{00000000-0005-0000-0000-000082C10000}"/>
    <cellStyle name="SAPBEXHLevel3X 3 2 6" xfId="50682" xr:uid="{00000000-0005-0000-0000-000083C10000}"/>
    <cellStyle name="SAPBEXHLevel3X 3 2 7" xfId="51143" xr:uid="{00000000-0005-0000-0000-000084C10000}"/>
    <cellStyle name="SAPBEXHLevel3X 3 2 8" xfId="49323" xr:uid="{00000000-0005-0000-0000-000085C10000}"/>
    <cellStyle name="SAPBEXHLevel3X 3 3" xfId="46610" xr:uid="{00000000-0005-0000-0000-000086C10000}"/>
    <cellStyle name="SAPBEXHLevel3X 3 3 2" xfId="49568" xr:uid="{00000000-0005-0000-0000-000087C10000}"/>
    <cellStyle name="SAPBEXHLevel3X 3 3 2 2" xfId="49896" xr:uid="{00000000-0005-0000-0000-000088C10000}"/>
    <cellStyle name="SAPBEXHLevel3X 3 3 2 2 2" xfId="50113" xr:uid="{00000000-0005-0000-0000-000089C10000}"/>
    <cellStyle name="SAPBEXHLevel3X 3 3 2 2 3" xfId="51316" xr:uid="{00000000-0005-0000-0000-00008AC10000}"/>
    <cellStyle name="SAPBEXHLevel3X 3 3 2 3" xfId="50471" xr:uid="{00000000-0005-0000-0000-00008BC10000}"/>
    <cellStyle name="SAPBEXHLevel3X 3 3 2 4" xfId="51442" xr:uid="{00000000-0005-0000-0000-00008CC10000}"/>
    <cellStyle name="SAPBEXHLevel3X 3 3 3" xfId="49602" xr:uid="{00000000-0005-0000-0000-00008DC10000}"/>
    <cellStyle name="SAPBEXHLevel3X 3 3 3 2" xfId="49930" xr:uid="{00000000-0005-0000-0000-00008EC10000}"/>
    <cellStyle name="SAPBEXHLevel3X 3 3 3 2 2" xfId="50082" xr:uid="{00000000-0005-0000-0000-00008FC10000}"/>
    <cellStyle name="SAPBEXHLevel3X 3 3 3 2 3" xfId="51286" xr:uid="{00000000-0005-0000-0000-000090C10000}"/>
    <cellStyle name="SAPBEXHLevel3X 3 3 3 3" xfId="50437" xr:uid="{00000000-0005-0000-0000-000091C10000}"/>
    <cellStyle name="SAPBEXHLevel3X 3 3 3 4" xfId="51251" xr:uid="{00000000-0005-0000-0000-000092C10000}"/>
    <cellStyle name="SAPBEXHLevel3X 3 3 4" xfId="49707" xr:uid="{00000000-0005-0000-0000-000093C10000}"/>
    <cellStyle name="SAPBEXHLevel3X 3 3 4 2" xfId="50274" xr:uid="{00000000-0005-0000-0000-000094C10000}"/>
    <cellStyle name="SAPBEXHLevel3X 3 3 4 3" xfId="51430" xr:uid="{00000000-0005-0000-0000-000095C10000}"/>
    <cellStyle name="SAPBEXHLevel3X 3 3 5" xfId="49980" xr:uid="{00000000-0005-0000-0000-000096C10000}"/>
    <cellStyle name="SAPBEXHLevel3X 3 3 5 2" xfId="51025" xr:uid="{00000000-0005-0000-0000-000097C10000}"/>
    <cellStyle name="SAPBEXHLevel3X 3 3 5 3" xfId="51322" xr:uid="{00000000-0005-0000-0000-000098C10000}"/>
    <cellStyle name="SAPBEXHLevel3X 3 3 6" xfId="50681" xr:uid="{00000000-0005-0000-0000-000099C10000}"/>
    <cellStyle name="SAPBEXHLevel3X 3 3 7" xfId="50801" xr:uid="{00000000-0005-0000-0000-00009AC10000}"/>
    <cellStyle name="SAPBEXHLevel3X 3 3 8" xfId="49324" xr:uid="{00000000-0005-0000-0000-00009BC10000}"/>
    <cellStyle name="SAPBEXHLevel3X 3 4" xfId="49325" xr:uid="{00000000-0005-0000-0000-00009CC10000}"/>
    <cellStyle name="SAPBEXHLevel3X 3 4 2" xfId="49569" xr:uid="{00000000-0005-0000-0000-00009DC10000}"/>
    <cellStyle name="SAPBEXHLevel3X 3 4 2 2" xfId="49897" xr:uid="{00000000-0005-0000-0000-00009EC10000}"/>
    <cellStyle name="SAPBEXHLevel3X 3 4 2 2 2" xfId="50112" xr:uid="{00000000-0005-0000-0000-00009FC10000}"/>
    <cellStyle name="SAPBEXHLevel3X 3 4 2 2 3" xfId="51573" xr:uid="{00000000-0005-0000-0000-0000A0C10000}"/>
    <cellStyle name="SAPBEXHLevel3X 3 4 2 3" xfId="50470" xr:uid="{00000000-0005-0000-0000-0000A1C10000}"/>
    <cellStyle name="SAPBEXHLevel3X 3 4 2 4" xfId="51364" xr:uid="{00000000-0005-0000-0000-0000A2C10000}"/>
    <cellStyle name="SAPBEXHLevel3X 3 4 3" xfId="49603" xr:uid="{00000000-0005-0000-0000-0000A3C10000}"/>
    <cellStyle name="SAPBEXHLevel3X 3 4 3 2" xfId="49931" xr:uid="{00000000-0005-0000-0000-0000A4C10000}"/>
    <cellStyle name="SAPBEXHLevel3X 3 4 3 2 2" xfId="50081" xr:uid="{00000000-0005-0000-0000-0000A5C10000}"/>
    <cellStyle name="SAPBEXHLevel3X 3 4 3 2 3" xfId="51544" xr:uid="{00000000-0005-0000-0000-0000A6C10000}"/>
    <cellStyle name="SAPBEXHLevel3X 3 4 3 3" xfId="50060" xr:uid="{00000000-0005-0000-0000-0000A7C10000}"/>
    <cellStyle name="SAPBEXHLevel3X 3 4 3 4" xfId="51508" xr:uid="{00000000-0005-0000-0000-0000A8C10000}"/>
    <cellStyle name="SAPBEXHLevel3X 3 4 4" xfId="49708" xr:uid="{00000000-0005-0000-0000-0000A9C10000}"/>
    <cellStyle name="SAPBEXHLevel3X 3 4 4 2" xfId="50273" xr:uid="{00000000-0005-0000-0000-0000AAC10000}"/>
    <cellStyle name="SAPBEXHLevel3X 3 4 4 3" xfId="51379" xr:uid="{00000000-0005-0000-0000-0000ABC10000}"/>
    <cellStyle name="SAPBEXHLevel3X 3 4 5" xfId="49979" xr:uid="{00000000-0005-0000-0000-0000ACC10000}"/>
    <cellStyle name="SAPBEXHLevel3X 3 4 5 2" xfId="51024" xr:uid="{00000000-0005-0000-0000-0000ADC10000}"/>
    <cellStyle name="SAPBEXHLevel3X 3 4 5 3" xfId="51549" xr:uid="{00000000-0005-0000-0000-0000AEC10000}"/>
    <cellStyle name="SAPBEXHLevel3X 3 4 6" xfId="50680" xr:uid="{00000000-0005-0000-0000-0000AFC10000}"/>
    <cellStyle name="SAPBEXHLevel3X 3 4 7" xfId="50870" xr:uid="{00000000-0005-0000-0000-0000B0C10000}"/>
    <cellStyle name="SAPBEXHLevel3X 3 5" xfId="49326" xr:uid="{00000000-0005-0000-0000-0000B1C10000}"/>
    <cellStyle name="SAPBEXHLevel3X 3 5 2" xfId="49570" xr:uid="{00000000-0005-0000-0000-0000B2C10000}"/>
    <cellStyle name="SAPBEXHLevel3X 3 5 2 2" xfId="49898" xr:uid="{00000000-0005-0000-0000-0000B3C10000}"/>
    <cellStyle name="SAPBEXHLevel3X 3 5 2 2 2" xfId="50111" xr:uid="{00000000-0005-0000-0000-0000B4C10000}"/>
    <cellStyle name="SAPBEXHLevel3X 3 5 2 2 3" xfId="51403" xr:uid="{00000000-0005-0000-0000-0000B5C10000}"/>
    <cellStyle name="SAPBEXHLevel3X 3 5 2 3" xfId="50469" xr:uid="{00000000-0005-0000-0000-0000B6C10000}"/>
    <cellStyle name="SAPBEXHLevel3X 3 5 2 4" xfId="51596" xr:uid="{00000000-0005-0000-0000-0000B7C10000}"/>
    <cellStyle name="SAPBEXHLevel3X 3 5 3" xfId="49604" xr:uid="{00000000-0005-0000-0000-0000B8C10000}"/>
    <cellStyle name="SAPBEXHLevel3X 3 5 3 2" xfId="49932" xr:uid="{00000000-0005-0000-0000-0000B9C10000}"/>
    <cellStyle name="SAPBEXHLevel3X 3 5 3 2 2" xfId="50080" xr:uid="{00000000-0005-0000-0000-0000BAC10000}"/>
    <cellStyle name="SAPBEXHLevel3X 3 5 3 2 3" xfId="51317" xr:uid="{00000000-0005-0000-0000-0000BBC10000}"/>
    <cellStyle name="SAPBEXHLevel3X 3 5 3 3" xfId="50821" xr:uid="{00000000-0005-0000-0000-0000BCC10000}"/>
    <cellStyle name="SAPBEXHLevel3X 3 5 3 4" xfId="51179" xr:uid="{00000000-0005-0000-0000-0000BDC10000}"/>
    <cellStyle name="SAPBEXHLevel3X 3 5 4" xfId="49709" xr:uid="{00000000-0005-0000-0000-0000BEC10000}"/>
    <cellStyle name="SAPBEXHLevel3X 3 5 4 2" xfId="50272" xr:uid="{00000000-0005-0000-0000-0000BFC10000}"/>
    <cellStyle name="SAPBEXHLevel3X 3 5 4 3" xfId="51623" xr:uid="{00000000-0005-0000-0000-0000C0C10000}"/>
    <cellStyle name="SAPBEXHLevel3X 3 5 5" xfId="49978" xr:uid="{00000000-0005-0000-0000-0000C1C10000}"/>
    <cellStyle name="SAPBEXHLevel3X 3 5 5 2" xfId="51023" xr:uid="{00000000-0005-0000-0000-0000C2C10000}"/>
    <cellStyle name="SAPBEXHLevel3X 3 5 5 3" xfId="51291" xr:uid="{00000000-0005-0000-0000-0000C3C10000}"/>
    <cellStyle name="SAPBEXHLevel3X 3 5 6" xfId="50679" xr:uid="{00000000-0005-0000-0000-0000C4C10000}"/>
    <cellStyle name="SAPBEXHLevel3X 3 5 7" xfId="50944" xr:uid="{00000000-0005-0000-0000-0000C5C10000}"/>
    <cellStyle name="SAPBEXHLevel3X 3 6" xfId="49327" xr:uid="{00000000-0005-0000-0000-0000C6C10000}"/>
    <cellStyle name="SAPBEXHLevel3X 3 6 2" xfId="49571" xr:uid="{00000000-0005-0000-0000-0000C7C10000}"/>
    <cellStyle name="SAPBEXHLevel3X 3 6 2 2" xfId="49899" xr:uid="{00000000-0005-0000-0000-0000C8C10000}"/>
    <cellStyle name="SAPBEXHLevel3X 3 6 2 2 2" xfId="50110" xr:uid="{00000000-0005-0000-0000-0000C9C10000}"/>
    <cellStyle name="SAPBEXHLevel3X 3 6 2 2 3" xfId="51597" xr:uid="{00000000-0005-0000-0000-0000CAC10000}"/>
    <cellStyle name="SAPBEXHLevel3X 3 6 2 3" xfId="50468" xr:uid="{00000000-0005-0000-0000-0000CBC10000}"/>
    <cellStyle name="SAPBEXHLevel3X 3 6 2 4" xfId="50911" xr:uid="{00000000-0005-0000-0000-0000CCC10000}"/>
    <cellStyle name="SAPBEXHLevel3X 3 6 3" xfId="49605" xr:uid="{00000000-0005-0000-0000-0000CDC10000}"/>
    <cellStyle name="SAPBEXHLevel3X 3 6 3 2" xfId="49933" xr:uid="{00000000-0005-0000-0000-0000CEC10000}"/>
    <cellStyle name="SAPBEXHLevel3X 3 6 3 2 2" xfId="50079" xr:uid="{00000000-0005-0000-0000-0000CFC10000}"/>
    <cellStyle name="SAPBEXHLevel3X 3 6 3 2 3" xfId="51574" xr:uid="{00000000-0005-0000-0000-0000D0C10000}"/>
    <cellStyle name="SAPBEXHLevel3X 3 6 3 3" xfId="50062" xr:uid="{00000000-0005-0000-0000-0000D1C10000}"/>
    <cellStyle name="SAPBEXHLevel3X 3 6 3 4" xfId="51437" xr:uid="{00000000-0005-0000-0000-0000D2C10000}"/>
    <cellStyle name="SAPBEXHLevel3X 3 6 4" xfId="49710" xr:uid="{00000000-0005-0000-0000-0000D3C10000}"/>
    <cellStyle name="SAPBEXHLevel3X 3 6 4 2" xfId="50271" xr:uid="{00000000-0005-0000-0000-0000D4C10000}"/>
    <cellStyle name="SAPBEXHLevel3X 3 6 4 3" xfId="51254" xr:uid="{00000000-0005-0000-0000-0000D5C10000}"/>
    <cellStyle name="SAPBEXHLevel3X 3 6 5" xfId="50045" xr:uid="{00000000-0005-0000-0000-0000D6C10000}"/>
    <cellStyle name="SAPBEXHLevel3X 3 6 5 2" xfId="51089" xr:uid="{00000000-0005-0000-0000-0000D7C10000}"/>
    <cellStyle name="SAPBEXHLevel3X 3 6 5 3" xfId="51328" xr:uid="{00000000-0005-0000-0000-0000D8C10000}"/>
    <cellStyle name="SAPBEXHLevel3X 3 6 6" xfId="50678" xr:uid="{00000000-0005-0000-0000-0000D9C10000}"/>
    <cellStyle name="SAPBEXHLevel3X 3 6 7" xfId="50884" xr:uid="{00000000-0005-0000-0000-0000DAC10000}"/>
    <cellStyle name="SAPBEXHLevel3X 3 7" xfId="49328" xr:uid="{00000000-0005-0000-0000-0000DBC10000}"/>
    <cellStyle name="SAPBEXHLevel3X 3 7 2" xfId="49572" xr:uid="{00000000-0005-0000-0000-0000DCC10000}"/>
    <cellStyle name="SAPBEXHLevel3X 3 7 2 2" xfId="49900" xr:uid="{00000000-0005-0000-0000-0000DDC10000}"/>
    <cellStyle name="SAPBEXHLevel3X 3 7 2 2 2" xfId="50109" xr:uid="{00000000-0005-0000-0000-0000DEC10000}"/>
    <cellStyle name="SAPBEXHLevel3X 3 7 2 2 3" xfId="51277" xr:uid="{00000000-0005-0000-0000-0000DFC10000}"/>
    <cellStyle name="SAPBEXHLevel3X 3 7 2 3" xfId="50467" xr:uid="{00000000-0005-0000-0000-0000E0C10000}"/>
    <cellStyle name="SAPBEXHLevel3X 3 7 2 4" xfId="51247" xr:uid="{00000000-0005-0000-0000-0000E1C10000}"/>
    <cellStyle name="SAPBEXHLevel3X 3 7 3" xfId="49606" xr:uid="{00000000-0005-0000-0000-0000E2C10000}"/>
    <cellStyle name="SAPBEXHLevel3X 3 7 3 2" xfId="49934" xr:uid="{00000000-0005-0000-0000-0000E3C10000}"/>
    <cellStyle name="SAPBEXHLevel3X 3 7 3 2 2" xfId="50078" xr:uid="{00000000-0005-0000-0000-0000E4C10000}"/>
    <cellStyle name="SAPBEXHLevel3X 3 7 3 2 3" xfId="51404" xr:uid="{00000000-0005-0000-0000-0000E5C10000}"/>
    <cellStyle name="SAPBEXHLevel3X 3 7 3 3" xfId="50830" xr:uid="{00000000-0005-0000-0000-0000E6C10000}"/>
    <cellStyle name="SAPBEXHLevel3X 3 7 3 4" xfId="51369" xr:uid="{00000000-0005-0000-0000-0000E7C10000}"/>
    <cellStyle name="SAPBEXHLevel3X 3 7 4" xfId="49711" xr:uid="{00000000-0005-0000-0000-0000E8C10000}"/>
    <cellStyle name="SAPBEXHLevel3X 3 7 4 2" xfId="50270" xr:uid="{00000000-0005-0000-0000-0000E9C10000}"/>
    <cellStyle name="SAPBEXHLevel3X 3 7 4 3" xfId="51511" xr:uid="{00000000-0005-0000-0000-0000EAC10000}"/>
    <cellStyle name="SAPBEXHLevel3X 3 7 5" xfId="49977" xr:uid="{00000000-0005-0000-0000-0000EBC10000}"/>
    <cellStyle name="SAPBEXHLevel3X 3 7 5 2" xfId="51022" xr:uid="{00000000-0005-0000-0000-0000ECC10000}"/>
    <cellStyle name="SAPBEXHLevel3X 3 7 5 3" xfId="51116" xr:uid="{00000000-0005-0000-0000-0000EDC10000}"/>
    <cellStyle name="SAPBEXHLevel3X 3 7 6" xfId="50677" xr:uid="{00000000-0005-0000-0000-0000EEC10000}"/>
    <cellStyle name="SAPBEXHLevel3X 3 7 7" xfId="50955" xr:uid="{00000000-0005-0000-0000-0000EFC10000}"/>
    <cellStyle name="SAPBEXHLevel3X 3 8" xfId="49329" xr:uid="{00000000-0005-0000-0000-0000F0C10000}"/>
    <cellStyle name="SAPBEXHLevel3X 3 8 2" xfId="49573" xr:uid="{00000000-0005-0000-0000-0000F1C10000}"/>
    <cellStyle name="SAPBEXHLevel3X 3 8 2 2" xfId="49901" xr:uid="{00000000-0005-0000-0000-0000F2C10000}"/>
    <cellStyle name="SAPBEXHLevel3X 3 8 2 2 2" xfId="50108" xr:uid="{00000000-0005-0000-0000-0000F3C10000}"/>
    <cellStyle name="SAPBEXHLevel3X 3 8 2 2 3" xfId="51535" xr:uid="{00000000-0005-0000-0000-0000F4C10000}"/>
    <cellStyle name="SAPBEXHLevel3X 3 8 2 3" xfId="50466" xr:uid="{00000000-0005-0000-0000-0000F5C10000}"/>
    <cellStyle name="SAPBEXHLevel3X 3 8 2 4" xfId="51504" xr:uid="{00000000-0005-0000-0000-0000F6C10000}"/>
    <cellStyle name="SAPBEXHLevel3X 3 8 3" xfId="49607" xr:uid="{00000000-0005-0000-0000-0000F7C10000}"/>
    <cellStyle name="SAPBEXHLevel3X 3 8 3 2" xfId="49935" xr:uid="{00000000-0005-0000-0000-0000F8C10000}"/>
    <cellStyle name="SAPBEXHLevel3X 3 8 3 2 2" xfId="50077" xr:uid="{00000000-0005-0000-0000-0000F9C10000}"/>
    <cellStyle name="SAPBEXHLevel3X 3 8 3 2 3" xfId="51663" xr:uid="{00000000-0005-0000-0000-0000FAC10000}"/>
    <cellStyle name="SAPBEXHLevel3X 3 8 3 3" xfId="50820" xr:uid="{00000000-0005-0000-0000-0000FBC10000}"/>
    <cellStyle name="SAPBEXHLevel3X 3 8 3 4" xfId="51631" xr:uid="{00000000-0005-0000-0000-0000FCC10000}"/>
    <cellStyle name="SAPBEXHLevel3X 3 8 4" xfId="49712" xr:uid="{00000000-0005-0000-0000-0000FDC10000}"/>
    <cellStyle name="SAPBEXHLevel3X 3 8 4 2" xfId="50988" xr:uid="{00000000-0005-0000-0000-0000FEC10000}"/>
    <cellStyle name="SAPBEXHLevel3X 3 8 4 3" xfId="51252" xr:uid="{00000000-0005-0000-0000-0000FFC10000}"/>
    <cellStyle name="SAPBEXHLevel3X 3 8 5" xfId="49964" xr:uid="{00000000-0005-0000-0000-000000C20000}"/>
    <cellStyle name="SAPBEXHLevel3X 3 8 5 2" xfId="51009" xr:uid="{00000000-0005-0000-0000-000001C20000}"/>
    <cellStyle name="SAPBEXHLevel3X 3 8 5 3" xfId="51320" xr:uid="{00000000-0005-0000-0000-000002C20000}"/>
    <cellStyle name="SAPBEXHLevel3X 3 8 6" xfId="50676" xr:uid="{00000000-0005-0000-0000-000003C20000}"/>
    <cellStyle name="SAPBEXHLevel3X 3 8 7" xfId="50641" xr:uid="{00000000-0005-0000-0000-000004C20000}"/>
    <cellStyle name="SAPBEXHLevel3X 3 9" xfId="49566" xr:uid="{00000000-0005-0000-0000-000005C20000}"/>
    <cellStyle name="SAPBEXHLevel3X 3 9 2" xfId="49894" xr:uid="{00000000-0005-0000-0000-000006C20000}"/>
    <cellStyle name="SAPBEXHLevel3X 3 9 2 2" xfId="50115" xr:uid="{00000000-0005-0000-0000-000007C20000}"/>
    <cellStyle name="SAPBEXHLevel3X 3 9 2 3" xfId="51284" xr:uid="{00000000-0005-0000-0000-000008C20000}"/>
    <cellStyle name="SAPBEXHLevel3X 3 9 3" xfId="50473" xr:uid="{00000000-0005-0000-0000-000009C20000}"/>
    <cellStyle name="SAPBEXHLevel3X 3 9 4" xfId="51503"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0" xr:uid="{00000000-0005-0000-0000-00000FC20000}"/>
    <cellStyle name="SAPBEXHLevel3X 4" xfId="46615" xr:uid="{00000000-0005-0000-0000-000010C20000}"/>
    <cellStyle name="SAPBEXHLevel3X 4 2" xfId="46616" xr:uid="{00000000-0005-0000-0000-000011C20000}"/>
    <cellStyle name="SAPBEXHLevel3X 4 2 2" xfId="50117" xr:uid="{00000000-0005-0000-0000-000012C20000}"/>
    <cellStyle name="SAPBEXHLevel3X 4 2 3" xfId="51609" xr:uid="{00000000-0005-0000-0000-000013C20000}"/>
    <cellStyle name="SAPBEXHLevel3X 4 2 4" xfId="49892" xr:uid="{00000000-0005-0000-0000-000014C20000}"/>
    <cellStyle name="SAPBEXHLevel3X 4 3" xfId="50475" xr:uid="{00000000-0005-0000-0000-000015C20000}"/>
    <cellStyle name="SAPBEXHLevel3X 4 4" xfId="50959" xr:uid="{00000000-0005-0000-0000-000016C20000}"/>
    <cellStyle name="SAPBEXHLevel3X 4 5" xfId="49564" xr:uid="{00000000-0005-0000-0000-000017C20000}"/>
    <cellStyle name="SAPBEXHLevel3X 5" xfId="46617" xr:uid="{00000000-0005-0000-0000-000018C20000}"/>
    <cellStyle name="SAPBEXHLevel3X 5 2" xfId="46618" xr:uid="{00000000-0005-0000-0000-000019C20000}"/>
    <cellStyle name="SAPBEXHLevel3X 5 2 2" xfId="50856" xr:uid="{00000000-0005-0000-0000-00001AC20000}"/>
    <cellStyle name="SAPBEXHLevel3X 5 2 3" xfId="51519" xr:uid="{00000000-0005-0000-0000-00001BC20000}"/>
    <cellStyle name="SAPBEXHLevel3X 5 2 4" xfId="49728" xr:uid="{00000000-0005-0000-0000-00001CC20000}"/>
    <cellStyle name="SAPBEXHLevel3X 5 3" xfId="50638" xr:uid="{00000000-0005-0000-0000-00001DC20000}"/>
    <cellStyle name="SAPBEXHLevel3X 5 4" xfId="51481" xr:uid="{00000000-0005-0000-0000-00001EC20000}"/>
    <cellStyle name="SAPBEXHLevel3X 5 5" xfId="49400" xr:uid="{00000000-0005-0000-0000-00001FC20000}"/>
    <cellStyle name="SAPBEXHLevel3X 6" xfId="46619" xr:uid="{00000000-0005-0000-0000-000020C20000}"/>
    <cellStyle name="SAPBEXHLevel3X 6 2" xfId="46620" xr:uid="{00000000-0005-0000-0000-000021C20000}"/>
    <cellStyle name="SAPBEXHLevel3X 6 2 2" xfId="50278" xr:uid="{00000000-0005-0000-0000-000022C20000}"/>
    <cellStyle name="SAPBEXHLevel3X 6 3" xfId="51261" xr:uid="{00000000-0005-0000-0000-000023C20000}"/>
    <cellStyle name="SAPBEXHLevel3X 6 4" xfId="49703" xr:uid="{00000000-0005-0000-0000-000024C20000}"/>
    <cellStyle name="SAPBEXHLevel3X 7" xfId="46621" xr:uid="{00000000-0005-0000-0000-000025C20000}"/>
    <cellStyle name="SAPBEXHLevel3X 7 2" xfId="46622" xr:uid="{00000000-0005-0000-0000-000026C20000}"/>
    <cellStyle name="SAPBEXHLevel3X 7 2 2" xfId="51094" xr:uid="{00000000-0005-0000-0000-000027C20000}"/>
    <cellStyle name="SAPBEXHLevel3X 7 3" xfId="50984" xr:uid="{00000000-0005-0000-0000-000028C20000}"/>
    <cellStyle name="SAPBEXHLevel3X 7 4" xfId="50050" xr:uid="{00000000-0005-0000-0000-000029C20000}"/>
    <cellStyle name="SAPBEXHLevel3X 8" xfId="46623" xr:uid="{00000000-0005-0000-0000-00002AC20000}"/>
    <cellStyle name="SAPBEXHLevel3X 8 2" xfId="46624" xr:uid="{00000000-0005-0000-0000-00002BC20000}"/>
    <cellStyle name="SAPBEXHLevel3X 8 3" xfId="50685" xr:uid="{00000000-0005-0000-0000-00002CC20000}"/>
    <cellStyle name="SAPBEXHLevel3X 9" xfId="46625" xr:uid="{00000000-0005-0000-0000-00002DC20000}"/>
    <cellStyle name="SAPBEXHLevel3X 9 2" xfId="46626" xr:uid="{00000000-0005-0000-0000-00002EC20000}"/>
    <cellStyle name="SAPBEXHLevel3X 9 3" xfId="50660"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0"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1"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3"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88"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89" xr:uid="{00000000-0005-0000-0000-000047C30000}"/>
    <cellStyle name="SAPBEXinputData 3 3 3" xfId="46900" xr:uid="{00000000-0005-0000-0000-000048C30000}"/>
    <cellStyle name="SAPBEXinputData 3 3 4" xfId="49334" xr:uid="{00000000-0005-0000-0000-000049C30000}"/>
    <cellStyle name="SAPBEXinputData 3 30" xfId="46901" xr:uid="{00000000-0005-0000-0000-00004AC30000}"/>
    <cellStyle name="SAPBEXinputData 3 31" xfId="49332" xr:uid="{00000000-0005-0000-0000-00004BC30000}"/>
    <cellStyle name="SAPBEXinputData 3 4" xfId="46902" xr:uid="{00000000-0005-0000-0000-00004CC30000}"/>
    <cellStyle name="SAPBEXinputData 3 4 2" xfId="46903" xr:uid="{00000000-0005-0000-0000-00004DC30000}"/>
    <cellStyle name="SAPBEXinputData 3 4 2 2" xfId="49390" xr:uid="{00000000-0005-0000-0000-00004EC30000}"/>
    <cellStyle name="SAPBEXinputData 3 4 3" xfId="49335" xr:uid="{00000000-0005-0000-0000-00004FC30000}"/>
    <cellStyle name="SAPBEXinputData 3 5" xfId="46904" xr:uid="{00000000-0005-0000-0000-000050C30000}"/>
    <cellStyle name="SAPBEXinputData 3 5 2" xfId="46905" xr:uid="{00000000-0005-0000-0000-000051C30000}"/>
    <cellStyle name="SAPBEXinputData 3 5 2 2" xfId="49391" xr:uid="{00000000-0005-0000-0000-000052C30000}"/>
    <cellStyle name="SAPBEXinputData 3 5 3" xfId="49336" xr:uid="{00000000-0005-0000-0000-000053C30000}"/>
    <cellStyle name="SAPBEXinputData 3 6" xfId="46906" xr:uid="{00000000-0005-0000-0000-000054C30000}"/>
    <cellStyle name="SAPBEXinputData 3 6 2" xfId="46907" xr:uid="{00000000-0005-0000-0000-000055C30000}"/>
    <cellStyle name="SAPBEXinputData 3 6 2 2" xfId="49392" xr:uid="{00000000-0005-0000-0000-000056C30000}"/>
    <cellStyle name="SAPBEXinputData 3 6 3" xfId="49337" xr:uid="{00000000-0005-0000-0000-000057C30000}"/>
    <cellStyle name="SAPBEXinputData 3 7" xfId="46908" xr:uid="{00000000-0005-0000-0000-000058C30000}"/>
    <cellStyle name="SAPBEXinputData 3 7 2" xfId="46909" xr:uid="{00000000-0005-0000-0000-000059C30000}"/>
    <cellStyle name="SAPBEXinputData 3 7 2 2" xfId="49393" xr:uid="{00000000-0005-0000-0000-00005AC30000}"/>
    <cellStyle name="SAPBEXinputData 3 7 3" xfId="49338" xr:uid="{00000000-0005-0000-0000-00005BC30000}"/>
    <cellStyle name="SAPBEXinputData 3 8" xfId="46910" xr:uid="{00000000-0005-0000-0000-00005CC30000}"/>
    <cellStyle name="SAPBEXinputData 3 8 2" xfId="46911" xr:uid="{00000000-0005-0000-0000-00005DC30000}"/>
    <cellStyle name="SAPBEXinputData 3 8 2 2" xfId="49394" xr:uid="{00000000-0005-0000-0000-00005EC30000}"/>
    <cellStyle name="SAPBEXinputData 3 8 3" xfId="49339" xr:uid="{00000000-0005-0000-0000-00005FC30000}"/>
    <cellStyle name="SAPBEXinputData 3 9" xfId="46912" xr:uid="{00000000-0005-0000-0000-000060C30000}"/>
    <cellStyle name="SAPBEXinputData 3 9 2" xfId="46913" xr:uid="{00000000-0005-0000-0000-000061C30000}"/>
    <cellStyle name="SAPBEXinputData 3 9 3" xfId="49387"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6"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6" xr:uid="{00000000-0005-0000-0000-000002C40000}"/>
    <cellStyle name="SAPBEXItemHeader 2 2 3" xfId="51533" xr:uid="{00000000-0005-0000-0000-000003C40000}"/>
    <cellStyle name="SAPBEXItemHeader 2 2 4" xfId="49903" xr:uid="{00000000-0005-0000-0000-000004C40000}"/>
    <cellStyle name="SAPBEXItemHeader 2 3" xfId="47072" xr:uid="{00000000-0005-0000-0000-000005C40000}"/>
    <cellStyle name="SAPBEXItemHeader 2 3 2" xfId="50464" xr:uid="{00000000-0005-0000-0000-000006C40000}"/>
    <cellStyle name="SAPBEXItemHeader 2 4" xfId="51441" xr:uid="{00000000-0005-0000-0000-000007C40000}"/>
    <cellStyle name="SAPBEXItemHeader 2 5" xfId="49575"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6" xr:uid="{00000000-0005-0000-0000-000014C40000}"/>
    <cellStyle name="SAPBEXItemHeader 3 2 2" xfId="50076" xr:uid="{00000000-0005-0000-0000-000015C40000}"/>
    <cellStyle name="SAPBEXItemHeader 3 2 3" xfId="50787" xr:uid="{00000000-0005-0000-0000-000016C40000}"/>
    <cellStyle name="SAPBEXItemHeader 3 3" xfId="50064" xr:uid="{00000000-0005-0000-0000-000017C40000}"/>
    <cellStyle name="SAPBEXItemHeader 3 4" xfId="51250" xr:uid="{00000000-0005-0000-0000-000018C40000}"/>
    <cellStyle name="SAPBEXItemHeader 3 5" xfId="49608"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0" xr:uid="{00000000-0005-0000-0000-00001DC40000}"/>
    <cellStyle name="SAPBEXItemHeader 4" xfId="47087" xr:uid="{00000000-0005-0000-0000-00001EC40000}"/>
    <cellStyle name="SAPBEXItemHeader 4 2" xfId="50899" xr:uid="{00000000-0005-0000-0000-00001FC40000}"/>
    <cellStyle name="SAPBEXItemHeader 4 3" xfId="51509" xr:uid="{00000000-0005-0000-0000-000020C40000}"/>
    <cellStyle name="SAPBEXItemHeader 4 4" xfId="49713" xr:uid="{00000000-0005-0000-0000-000021C40000}"/>
    <cellStyle name="SAPBEXItemHeader 5" xfId="47088" xr:uid="{00000000-0005-0000-0000-000022C40000}"/>
    <cellStyle name="SAPBEXItemHeader 5 2" xfId="51092" xr:uid="{00000000-0005-0000-0000-000023C40000}"/>
    <cellStyle name="SAPBEXItemHeader 5 3" xfId="51415" xr:uid="{00000000-0005-0000-0000-000024C40000}"/>
    <cellStyle name="SAPBEXItemHeader 5 4" xfId="50048" xr:uid="{00000000-0005-0000-0000-000025C40000}"/>
    <cellStyle name="SAPBEXItemHeader 6" xfId="47089" xr:uid="{00000000-0005-0000-0000-000026C40000}"/>
    <cellStyle name="SAPBEXItemHeader 6 2" xfId="50674" xr:uid="{00000000-0005-0000-0000-000027C40000}"/>
    <cellStyle name="SAPBEXItemHeader 7" xfId="47090" xr:uid="{00000000-0005-0000-0000-000028C40000}"/>
    <cellStyle name="SAPBEXItemHeader 7 2" xfId="50908"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5" xr:uid="{00000000-0005-0000-0000-000039C40000}"/>
    <cellStyle name="SAPBEXresData 2 2 3" xfId="51158" xr:uid="{00000000-0005-0000-0000-00003AC40000}"/>
    <cellStyle name="SAPBEXresData 2 2 4" xfId="49904" xr:uid="{00000000-0005-0000-0000-00003BC40000}"/>
    <cellStyle name="SAPBEXresData 2 3" xfId="47105" xr:uid="{00000000-0005-0000-0000-00003CC40000}"/>
    <cellStyle name="SAPBEXresData 2 3 2" xfId="50463" xr:uid="{00000000-0005-0000-0000-00003DC40000}"/>
    <cellStyle name="SAPBEXresData 2 4" xfId="51365" xr:uid="{00000000-0005-0000-0000-00003EC40000}"/>
    <cellStyle name="SAPBEXresData 2 5" xfId="49576"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37" xr:uid="{00000000-0005-0000-0000-00004BC40000}"/>
    <cellStyle name="SAPBEXresData 3 2 2" xfId="50075" xr:uid="{00000000-0005-0000-0000-00004CC40000}"/>
    <cellStyle name="SAPBEXresData 3 2 3" xfId="50864" xr:uid="{00000000-0005-0000-0000-00004DC40000}"/>
    <cellStyle name="SAPBEXresData 3 3" xfId="50436" xr:uid="{00000000-0005-0000-0000-00004EC40000}"/>
    <cellStyle name="SAPBEXresData 3 4" xfId="51507" xr:uid="{00000000-0005-0000-0000-00004FC40000}"/>
    <cellStyle name="SAPBEXresData 3 5" xfId="49609"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1" xr:uid="{00000000-0005-0000-0000-000054C40000}"/>
    <cellStyle name="SAPBEXresData 4" xfId="47120" xr:uid="{00000000-0005-0000-0000-000055C40000}"/>
    <cellStyle name="SAPBEXresData 4 2" xfId="50963" xr:uid="{00000000-0005-0000-0000-000056C40000}"/>
    <cellStyle name="SAPBEXresData 4 3" xfId="51178" xr:uid="{00000000-0005-0000-0000-000057C40000}"/>
    <cellStyle name="SAPBEXresData 4 4" xfId="49714" xr:uid="{00000000-0005-0000-0000-000058C40000}"/>
    <cellStyle name="SAPBEXresData 5" xfId="47121" xr:uid="{00000000-0005-0000-0000-000059C40000}"/>
    <cellStyle name="SAPBEXresData 5 2" xfId="51004" xr:uid="{00000000-0005-0000-0000-00005AC40000}"/>
    <cellStyle name="SAPBEXresData 5 3" xfId="51114" xr:uid="{00000000-0005-0000-0000-00005BC40000}"/>
    <cellStyle name="SAPBEXresData 5 4" xfId="49959" xr:uid="{00000000-0005-0000-0000-00005CC40000}"/>
    <cellStyle name="SAPBEXresData 6" xfId="47122" xr:uid="{00000000-0005-0000-0000-00005DC40000}"/>
    <cellStyle name="SAPBEXresData 6 2" xfId="50673" xr:uid="{00000000-0005-0000-0000-00005EC40000}"/>
    <cellStyle name="SAPBEXresData 7" xfId="47123" xr:uid="{00000000-0005-0000-0000-00005FC40000}"/>
    <cellStyle name="SAPBEXresData 7 2" xfId="51144"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2"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4" xr:uid="{00000000-0005-0000-0000-000095C40000}"/>
    <cellStyle name="SAPBEXresItem 2 2 3" xfId="51418" xr:uid="{00000000-0005-0000-0000-000096C40000}"/>
    <cellStyle name="SAPBEXresItem 2 2 4" xfId="49905" xr:uid="{00000000-0005-0000-0000-000097C40000}"/>
    <cellStyle name="SAPBEXresItem 2 3" xfId="47173" xr:uid="{00000000-0005-0000-0000-000098C40000}"/>
    <cellStyle name="SAPBEXresItem 2 3 2" xfId="50462" xr:uid="{00000000-0005-0000-0000-000099C40000}"/>
    <cellStyle name="SAPBEXresItem 2 4" xfId="51634" xr:uid="{00000000-0005-0000-0000-00009AC40000}"/>
    <cellStyle name="SAPBEXresItem 2 5" xfId="49577"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38" xr:uid="{00000000-0005-0000-0000-0000A7C40000}"/>
    <cellStyle name="SAPBEXresItem 3 2 2" xfId="50824" xr:uid="{00000000-0005-0000-0000-0000A8C40000}"/>
    <cellStyle name="SAPBEXresItem 3 2 3" xfId="50985" xr:uid="{00000000-0005-0000-0000-0000A9C40000}"/>
    <cellStyle name="SAPBEXresItem 3 3" xfId="50435" xr:uid="{00000000-0005-0000-0000-0000AAC40000}"/>
    <cellStyle name="SAPBEXresItem 3 4" xfId="51180" xr:uid="{00000000-0005-0000-0000-0000ABC40000}"/>
    <cellStyle name="SAPBEXresItem 3 5" xfId="49610"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3" xr:uid="{00000000-0005-0000-0000-0000B0C40000}"/>
    <cellStyle name="SAPBEXresItem 4" xfId="47188" xr:uid="{00000000-0005-0000-0000-0000B1C40000}"/>
    <cellStyle name="SAPBEXresItem 4 2" xfId="50892" xr:uid="{00000000-0005-0000-0000-0000B2C40000}"/>
    <cellStyle name="SAPBEXresItem 4 3" xfId="50920" xr:uid="{00000000-0005-0000-0000-0000B3C40000}"/>
    <cellStyle name="SAPBEXresItem 4 4" xfId="49715" xr:uid="{00000000-0005-0000-0000-0000B4C40000}"/>
    <cellStyle name="SAPBEXresItem 5" xfId="47189" xr:uid="{00000000-0005-0000-0000-0000B5C40000}"/>
    <cellStyle name="SAPBEXresItem 5 2" xfId="51003" xr:uid="{00000000-0005-0000-0000-0000B6C40000}"/>
    <cellStyle name="SAPBEXresItem 5 3" xfId="51592" xr:uid="{00000000-0005-0000-0000-0000B7C40000}"/>
    <cellStyle name="SAPBEXresItem 5 4" xfId="49958" xr:uid="{00000000-0005-0000-0000-0000B8C40000}"/>
    <cellStyle name="SAPBEXresItem 6" xfId="47190" xr:uid="{00000000-0005-0000-0000-0000B9C40000}"/>
    <cellStyle name="SAPBEXresItem 6 2" xfId="50672" xr:uid="{00000000-0005-0000-0000-0000BAC40000}"/>
    <cellStyle name="SAPBEXresItem 7" xfId="47191" xr:uid="{00000000-0005-0000-0000-0000BBC40000}"/>
    <cellStyle name="SAPBEXresItem 7 2" xfId="50639"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3" xr:uid="{00000000-0005-0000-0000-0000CDC40000}"/>
    <cellStyle name="SAPBEXresItemX 2 2 3" xfId="51394" xr:uid="{00000000-0005-0000-0000-0000CEC40000}"/>
    <cellStyle name="SAPBEXresItemX 2 2 4" xfId="49906" xr:uid="{00000000-0005-0000-0000-0000CFC40000}"/>
    <cellStyle name="SAPBEXresItemX 2 3" xfId="47207" xr:uid="{00000000-0005-0000-0000-0000D0C40000}"/>
    <cellStyle name="SAPBEXresItemX 2 3 2" xfId="50461" xr:uid="{00000000-0005-0000-0000-0000D1C40000}"/>
    <cellStyle name="SAPBEXresItemX 2 4" xfId="50975" xr:uid="{00000000-0005-0000-0000-0000D2C40000}"/>
    <cellStyle name="SAPBEXresItemX 2 5" xfId="49578"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39" xr:uid="{00000000-0005-0000-0000-0000DFC40000}"/>
    <cellStyle name="SAPBEXresItemX 3 2 2" xfId="50074" xr:uid="{00000000-0005-0000-0000-0000E0C40000}"/>
    <cellStyle name="SAPBEXresItemX 3 2 3" xfId="50934" xr:uid="{00000000-0005-0000-0000-0000E1C40000}"/>
    <cellStyle name="SAPBEXresItemX 3 3" xfId="50434" xr:uid="{00000000-0005-0000-0000-0000E2C40000}"/>
    <cellStyle name="SAPBEXresItemX 3 4" xfId="51438" xr:uid="{00000000-0005-0000-0000-0000E3C40000}"/>
    <cellStyle name="SAPBEXresItemX 3 5" xfId="49611"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4" xr:uid="{00000000-0005-0000-0000-0000E8C40000}"/>
    <cellStyle name="SAPBEXresItemX 4" xfId="47222" xr:uid="{00000000-0005-0000-0000-0000E9C40000}"/>
    <cellStyle name="SAPBEXresItemX 4 2" xfId="50950" xr:uid="{00000000-0005-0000-0000-0000EAC40000}"/>
    <cellStyle name="SAPBEXresItemX 4 3" xfId="51436" xr:uid="{00000000-0005-0000-0000-0000EBC40000}"/>
    <cellStyle name="SAPBEXresItemX 4 4" xfId="49716" xr:uid="{00000000-0005-0000-0000-0000ECC40000}"/>
    <cellStyle name="SAPBEXresItemX 5" xfId="47223" xr:uid="{00000000-0005-0000-0000-0000EDC40000}"/>
    <cellStyle name="SAPBEXresItemX 5 2" xfId="51021" xr:uid="{00000000-0005-0000-0000-0000EEC40000}"/>
    <cellStyle name="SAPBEXresItemX 5 3" xfId="51607" xr:uid="{00000000-0005-0000-0000-0000EFC40000}"/>
    <cellStyle name="SAPBEXresItemX 5 4" xfId="49976" xr:uid="{00000000-0005-0000-0000-0000F0C40000}"/>
    <cellStyle name="SAPBEXresItemX 6" xfId="47224" xr:uid="{00000000-0005-0000-0000-0000F1C40000}"/>
    <cellStyle name="SAPBEXresItemX 6 2" xfId="50671" xr:uid="{00000000-0005-0000-0000-0000F2C40000}"/>
    <cellStyle name="SAPBEXresItemX 7" xfId="47225" xr:uid="{00000000-0005-0000-0000-0000F3C40000}"/>
    <cellStyle name="SAPBEXresItemX 7 2" xfId="51157"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2" xr:uid="{00000000-0005-0000-0000-000004C50000}"/>
    <cellStyle name="SAPBEXstdData 2 2 3" xfId="51665" xr:uid="{00000000-0005-0000-0000-000005C50000}"/>
    <cellStyle name="SAPBEXstdData 2 2 4" xfId="49907" xr:uid="{00000000-0005-0000-0000-000006C50000}"/>
    <cellStyle name="SAPBEXstdData 2 3" xfId="47240" xr:uid="{00000000-0005-0000-0000-000007C50000}"/>
    <cellStyle name="SAPBEXstdData 2 3 2" xfId="50460" xr:uid="{00000000-0005-0000-0000-000008C50000}"/>
    <cellStyle name="SAPBEXstdData 2 4" xfId="51248" xr:uid="{00000000-0005-0000-0000-000009C50000}"/>
    <cellStyle name="SAPBEXstdData 2 5" xfId="49579"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0" xr:uid="{00000000-0005-0000-0000-000016C50000}"/>
    <cellStyle name="SAPBEXstdData 3 2 2" xfId="50073" xr:uid="{00000000-0005-0000-0000-000017C50000}"/>
    <cellStyle name="SAPBEXstdData 3 2 3" xfId="50930" xr:uid="{00000000-0005-0000-0000-000018C50000}"/>
    <cellStyle name="SAPBEXstdData 3 3" xfId="50433" xr:uid="{00000000-0005-0000-0000-000019C50000}"/>
    <cellStyle name="SAPBEXstdData 3 4" xfId="51305" xr:uid="{00000000-0005-0000-0000-00001AC50000}"/>
    <cellStyle name="SAPBEXstdData 3 5" xfId="49612"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5" xr:uid="{00000000-0005-0000-0000-00001FC50000}"/>
    <cellStyle name="SAPBEXstdData 4" xfId="47255" xr:uid="{00000000-0005-0000-0000-000020C50000}"/>
    <cellStyle name="SAPBEXstdData 4 2" xfId="49953" xr:uid="{00000000-0005-0000-0000-000021C50000}"/>
    <cellStyle name="SAPBEXstdData 4 2 2" xfId="50998" xr:uid="{00000000-0005-0000-0000-000022C50000}"/>
    <cellStyle name="SAPBEXstdData 4 2 3" xfId="51288" xr:uid="{00000000-0005-0000-0000-000023C50000}"/>
    <cellStyle name="SAPBEXstdData 4 3" xfId="50425" xr:uid="{00000000-0005-0000-0000-000024C50000}"/>
    <cellStyle name="SAPBEXstdData 4 4" xfId="51510" xr:uid="{00000000-0005-0000-0000-000025C50000}"/>
    <cellStyle name="SAPBEXstdData 4 5" xfId="49625" xr:uid="{00000000-0005-0000-0000-000026C50000}"/>
    <cellStyle name="SAPBEXstdData 5" xfId="47256" xr:uid="{00000000-0005-0000-0000-000027C50000}"/>
    <cellStyle name="SAPBEXstdData 5 2" xfId="50877" xr:uid="{00000000-0005-0000-0000-000028C50000}"/>
    <cellStyle name="SAPBEXstdData 5 3" xfId="51370" xr:uid="{00000000-0005-0000-0000-000029C50000}"/>
    <cellStyle name="SAPBEXstdData 5 4" xfId="49717" xr:uid="{00000000-0005-0000-0000-00002AC50000}"/>
    <cellStyle name="SAPBEXstdData 6" xfId="47257" xr:uid="{00000000-0005-0000-0000-00002BC50000}"/>
    <cellStyle name="SAPBEXstdData 6 2" xfId="51020" xr:uid="{00000000-0005-0000-0000-00002CC50000}"/>
    <cellStyle name="SAPBEXstdData 6 3" xfId="51408" xr:uid="{00000000-0005-0000-0000-00002DC50000}"/>
    <cellStyle name="SAPBEXstdData 6 4" xfId="49975" xr:uid="{00000000-0005-0000-0000-00002EC50000}"/>
    <cellStyle name="SAPBEXstdData 7" xfId="47258" xr:uid="{00000000-0005-0000-0000-00002FC50000}"/>
    <cellStyle name="SAPBEXstdData 7 2" xfId="50670" xr:uid="{00000000-0005-0000-0000-000030C50000}"/>
    <cellStyle name="SAPBEXstdData 8" xfId="47259" xr:uid="{00000000-0005-0000-0000-000031C50000}"/>
    <cellStyle name="SAPBEXstdData 8 2" xfId="50915" xr:uid="{00000000-0005-0000-0000-000032C50000}"/>
    <cellStyle name="SAPBEXstdData 9" xfId="47260" xr:uid="{00000000-0005-0000-0000-000033C50000}"/>
    <cellStyle name="SAPBEXstdData 9 2" xfId="50868"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1" xr:uid="{00000000-0005-0000-0000-000043C50000}"/>
    <cellStyle name="SAPBEXstdDataEmph 2 2 3" xfId="51099" xr:uid="{00000000-0005-0000-0000-000044C50000}"/>
    <cellStyle name="SAPBEXstdDataEmph 2 2 4" xfId="49908" xr:uid="{00000000-0005-0000-0000-000045C50000}"/>
    <cellStyle name="SAPBEXstdDataEmph 2 3" xfId="47274" xr:uid="{00000000-0005-0000-0000-000046C50000}"/>
    <cellStyle name="SAPBEXstdDataEmph 2 3 2" xfId="50459" xr:uid="{00000000-0005-0000-0000-000047C50000}"/>
    <cellStyle name="SAPBEXstdDataEmph 2 4" xfId="51505" xr:uid="{00000000-0005-0000-0000-000048C50000}"/>
    <cellStyle name="SAPBEXstdDataEmph 2 5" xfId="49580"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1" xr:uid="{00000000-0005-0000-0000-000055C50000}"/>
    <cellStyle name="SAPBEXstdDataEmph 3 2 2" xfId="50072" xr:uid="{00000000-0005-0000-0000-000056C50000}"/>
    <cellStyle name="SAPBEXstdDataEmph 3 2 3" xfId="50854" xr:uid="{00000000-0005-0000-0000-000057C50000}"/>
    <cellStyle name="SAPBEXstdDataEmph 3 3" xfId="50432" xr:uid="{00000000-0005-0000-0000-000058C50000}"/>
    <cellStyle name="SAPBEXstdDataEmph 3 4" xfId="51562" xr:uid="{00000000-0005-0000-0000-000059C50000}"/>
    <cellStyle name="SAPBEXstdDataEmph 3 5" xfId="49613"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6" xr:uid="{00000000-0005-0000-0000-00005EC50000}"/>
    <cellStyle name="SAPBEXstdDataEmph 4" xfId="47289" xr:uid="{00000000-0005-0000-0000-00005FC50000}"/>
    <cellStyle name="SAPBEXstdDataEmph 4 2" xfId="49954" xr:uid="{00000000-0005-0000-0000-000060C50000}"/>
    <cellStyle name="SAPBEXstdDataEmph 4 2 2" xfId="50999" xr:uid="{00000000-0005-0000-0000-000061C50000}"/>
    <cellStyle name="SAPBEXstdDataEmph 4 2 3" xfId="51546" xr:uid="{00000000-0005-0000-0000-000062C50000}"/>
    <cellStyle name="SAPBEXstdDataEmph 4 3" xfId="50986" xr:uid="{00000000-0005-0000-0000-000063C50000}"/>
    <cellStyle name="SAPBEXstdDataEmph 4 4" xfId="51177" xr:uid="{00000000-0005-0000-0000-000064C50000}"/>
    <cellStyle name="SAPBEXstdDataEmph 4 5" xfId="49626" xr:uid="{00000000-0005-0000-0000-000065C50000}"/>
    <cellStyle name="SAPBEXstdDataEmph 5" xfId="47290" xr:uid="{00000000-0005-0000-0000-000066C50000}"/>
    <cellStyle name="SAPBEXstdDataEmph 5 2" xfId="50922" xr:uid="{00000000-0005-0000-0000-000067C50000}"/>
    <cellStyle name="SAPBEXstdDataEmph 5 3" xfId="51630" xr:uid="{00000000-0005-0000-0000-000068C50000}"/>
    <cellStyle name="SAPBEXstdDataEmph 5 4" xfId="49718" xr:uid="{00000000-0005-0000-0000-000069C50000}"/>
    <cellStyle name="SAPBEXstdDataEmph 6" xfId="47291" xr:uid="{00000000-0005-0000-0000-00006AC50000}"/>
    <cellStyle name="SAPBEXstdDataEmph 6 2" xfId="51019" xr:uid="{00000000-0005-0000-0000-00006BC50000}"/>
    <cellStyle name="SAPBEXstdDataEmph 6 3" xfId="51587" xr:uid="{00000000-0005-0000-0000-00006CC50000}"/>
    <cellStyle name="SAPBEXstdDataEmph 6 4" xfId="49974" xr:uid="{00000000-0005-0000-0000-00006DC50000}"/>
    <cellStyle name="SAPBEXstdDataEmph 7" xfId="47292" xr:uid="{00000000-0005-0000-0000-00006EC50000}"/>
    <cellStyle name="SAPBEXstdDataEmph 7 2" xfId="50669" xr:uid="{00000000-0005-0000-0000-00006FC50000}"/>
    <cellStyle name="SAPBEXstdDataEmph 8" xfId="47293" xr:uid="{00000000-0005-0000-0000-000070C50000}"/>
    <cellStyle name="SAPBEXstdDataEmph 8 2" xfId="50969" xr:uid="{00000000-0005-0000-0000-000071C50000}"/>
    <cellStyle name="SAPBEXstdDataEmph 9" xfId="47294" xr:uid="{00000000-0005-0000-0000-000072C50000}"/>
    <cellStyle name="SAPBEXstdDataEmph 9 2" xfId="51674"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0" xr:uid="{00000000-0005-0000-0000-000082C50000}"/>
    <cellStyle name="SAPBEXstdItem 2 2 3" xfId="51100" xr:uid="{00000000-0005-0000-0000-000083C50000}"/>
    <cellStyle name="SAPBEXstdItem 2 2 4" xfId="49909" xr:uid="{00000000-0005-0000-0000-000084C50000}"/>
    <cellStyle name="SAPBEXstdItem 2 3" xfId="47308" xr:uid="{00000000-0005-0000-0000-000085C50000}"/>
    <cellStyle name="SAPBEXstdItem 2 3 2" xfId="50458" xr:uid="{00000000-0005-0000-0000-000086C50000}"/>
    <cellStyle name="SAPBEXstdItem 2 4" xfId="51182" xr:uid="{00000000-0005-0000-0000-000087C50000}"/>
    <cellStyle name="SAPBEXstdItem 2 5" xfId="49581"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2" xr:uid="{00000000-0005-0000-0000-000094C50000}"/>
    <cellStyle name="SAPBEXstdItem 3 2 2" xfId="50823" xr:uid="{00000000-0005-0000-0000-000095C50000}"/>
    <cellStyle name="SAPBEXstdItem 3 2 3" xfId="51111" xr:uid="{00000000-0005-0000-0000-000096C50000}"/>
    <cellStyle name="SAPBEXstdItem 3 3" xfId="50431" xr:uid="{00000000-0005-0000-0000-000097C50000}"/>
    <cellStyle name="SAPBEXstdItem 3 4" xfId="51368" xr:uid="{00000000-0005-0000-0000-000098C50000}"/>
    <cellStyle name="SAPBEXstdItem 3 5" xfId="49614"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47" xr:uid="{00000000-0005-0000-0000-00009DC50000}"/>
    <cellStyle name="SAPBEXstdItem 4" xfId="47323" xr:uid="{00000000-0005-0000-0000-00009EC50000}"/>
    <cellStyle name="SAPBEXstdItem 4 2" xfId="49955" xr:uid="{00000000-0005-0000-0000-00009FC50000}"/>
    <cellStyle name="SAPBEXstdItem 4 2 2" xfId="51000" xr:uid="{00000000-0005-0000-0000-0000A0C50000}"/>
    <cellStyle name="SAPBEXstdItem 4 2 3" xfId="51319" xr:uid="{00000000-0005-0000-0000-0000A1C50000}"/>
    <cellStyle name="SAPBEXstdItem 4 3" xfId="50901" xr:uid="{00000000-0005-0000-0000-0000A2C50000}"/>
    <cellStyle name="SAPBEXstdItem 4 4" xfId="51435" xr:uid="{00000000-0005-0000-0000-0000A3C50000}"/>
    <cellStyle name="SAPBEXstdItem 4 5" xfId="49627" xr:uid="{00000000-0005-0000-0000-0000A4C50000}"/>
    <cellStyle name="SAPBEXstdItem 5" xfId="47324" xr:uid="{00000000-0005-0000-0000-0000A5C50000}"/>
    <cellStyle name="SAPBEXstdItem 5 2" xfId="50857" xr:uid="{00000000-0005-0000-0000-0000A6C50000}"/>
    <cellStyle name="SAPBEXstdItem 5 3" xfId="50889" xr:uid="{00000000-0005-0000-0000-0000A7C50000}"/>
    <cellStyle name="SAPBEXstdItem 5 4" xfId="49719" xr:uid="{00000000-0005-0000-0000-0000A8C50000}"/>
    <cellStyle name="SAPBEXstdItem 6" xfId="47325" xr:uid="{00000000-0005-0000-0000-0000A9C50000}"/>
    <cellStyle name="SAPBEXstdItem 6 2" xfId="51018" xr:uid="{00000000-0005-0000-0000-0000AAC50000}"/>
    <cellStyle name="SAPBEXstdItem 6 3" xfId="51332" xr:uid="{00000000-0005-0000-0000-0000ABC50000}"/>
    <cellStyle name="SAPBEXstdItem 6 4" xfId="49973" xr:uid="{00000000-0005-0000-0000-0000ACC50000}"/>
    <cellStyle name="SAPBEXstdItem 7" xfId="47326" xr:uid="{00000000-0005-0000-0000-0000ADC50000}"/>
    <cellStyle name="SAPBEXstdItem 7 2" xfId="50668" xr:uid="{00000000-0005-0000-0000-0000AEC50000}"/>
    <cellStyle name="SAPBEXstdItem 8" xfId="47327" xr:uid="{00000000-0005-0000-0000-0000AFC50000}"/>
    <cellStyle name="SAPBEXstdItem 8 2" xfId="50802" xr:uid="{00000000-0005-0000-0000-0000B0C50000}"/>
    <cellStyle name="SAPBEXstdItem 9" xfId="47328" xr:uid="{00000000-0005-0000-0000-0000B1C50000}"/>
    <cellStyle name="SAPBEXstdItem 9 2" xfId="50880"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099" xr:uid="{00000000-0005-0000-0000-0000C1C50000}"/>
    <cellStyle name="SAPBEXstdItemX 2 2 3" xfId="51101" xr:uid="{00000000-0005-0000-0000-0000C2C50000}"/>
    <cellStyle name="SAPBEXstdItemX 2 2 4" xfId="49910" xr:uid="{00000000-0005-0000-0000-0000C3C50000}"/>
    <cellStyle name="SAPBEXstdItemX 2 3" xfId="47342" xr:uid="{00000000-0005-0000-0000-0000C4C50000}"/>
    <cellStyle name="SAPBEXstdItemX 2 3 2" xfId="50457" xr:uid="{00000000-0005-0000-0000-0000C5C50000}"/>
    <cellStyle name="SAPBEXstdItemX 2 4" xfId="51440" xr:uid="{00000000-0005-0000-0000-0000C6C50000}"/>
    <cellStyle name="SAPBEXstdItemX 2 5" xfId="49582"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3" xr:uid="{00000000-0005-0000-0000-0000D3C50000}"/>
    <cellStyle name="SAPBEXstdItemX 3 2 2" xfId="50071" xr:uid="{00000000-0005-0000-0000-0000D4C50000}"/>
    <cellStyle name="SAPBEXstdItemX 3 2 3" xfId="51287" xr:uid="{00000000-0005-0000-0000-0000D5C50000}"/>
    <cellStyle name="SAPBEXstdItemX 3 3" xfId="50054" xr:uid="{00000000-0005-0000-0000-0000D6C50000}"/>
    <cellStyle name="SAPBEXstdItemX 3 4" xfId="51632" xr:uid="{00000000-0005-0000-0000-0000D7C50000}"/>
    <cellStyle name="SAPBEXstdItemX 3 5" xfId="49615"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48" xr:uid="{00000000-0005-0000-0000-0000DCC50000}"/>
    <cellStyle name="SAPBEXstdItemX 4" xfId="47357" xr:uid="{00000000-0005-0000-0000-0000DDC50000}"/>
    <cellStyle name="SAPBEXstdItemX 4 2" xfId="50269" xr:uid="{00000000-0005-0000-0000-0000DEC50000}"/>
    <cellStyle name="SAPBEXstdItemX 4 3" xfId="50642" xr:uid="{00000000-0005-0000-0000-0000DFC50000}"/>
    <cellStyle name="SAPBEXstdItemX 4 4" xfId="49720" xr:uid="{00000000-0005-0000-0000-0000E0C50000}"/>
    <cellStyle name="SAPBEXstdItemX 5" xfId="47358" xr:uid="{00000000-0005-0000-0000-0000E1C50000}"/>
    <cellStyle name="SAPBEXstdItemX 5 2" xfId="51017" xr:uid="{00000000-0005-0000-0000-0000E2C50000}"/>
    <cellStyle name="SAPBEXstdItemX 5 3" xfId="51578" xr:uid="{00000000-0005-0000-0000-0000E3C50000}"/>
    <cellStyle name="SAPBEXstdItemX 5 4" xfId="49972" xr:uid="{00000000-0005-0000-0000-0000E4C50000}"/>
    <cellStyle name="SAPBEXstdItemX 6" xfId="47359" xr:uid="{00000000-0005-0000-0000-0000E5C50000}"/>
    <cellStyle name="SAPBEXstdItemX 6 2" xfId="50667" xr:uid="{00000000-0005-0000-0000-0000E6C50000}"/>
    <cellStyle name="SAPBEXstdItemX 7" xfId="47360" xr:uid="{00000000-0005-0000-0000-0000E7C50000}"/>
    <cellStyle name="SAPBEXstdItemX 7 2" xfId="50803"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098" xr:uid="{00000000-0005-0000-0000-0000EEC50000}"/>
    <cellStyle name="SAPBEXtitle 2 2 3" xfId="51102" xr:uid="{00000000-0005-0000-0000-0000EFC50000}"/>
    <cellStyle name="SAPBEXtitle 2 2 4" xfId="49911" xr:uid="{00000000-0005-0000-0000-0000F0C50000}"/>
    <cellStyle name="SAPBEXtitle 2 3" xfId="50456" xr:uid="{00000000-0005-0000-0000-0000F1C50000}"/>
    <cellStyle name="SAPBEXtitle 2 4" xfId="51366" xr:uid="{00000000-0005-0000-0000-0000F2C50000}"/>
    <cellStyle name="SAPBEXtitle 2 5" xfId="49583" xr:uid="{00000000-0005-0000-0000-0000F3C50000}"/>
    <cellStyle name="SAPBEXtitle 3" xfId="49616" xr:uid="{00000000-0005-0000-0000-0000F4C50000}"/>
    <cellStyle name="SAPBEXtitle 3 2" xfId="49944" xr:uid="{00000000-0005-0000-0000-0000F5C50000}"/>
    <cellStyle name="SAPBEXtitle 3 2 2" xfId="50070" xr:uid="{00000000-0005-0000-0000-0000F6C50000}"/>
    <cellStyle name="SAPBEXtitle 3 2 3" xfId="51545" xr:uid="{00000000-0005-0000-0000-0000F7C50000}"/>
    <cellStyle name="SAPBEXtitle 3 3" xfId="50430" xr:uid="{00000000-0005-0000-0000-0000F8C50000}"/>
    <cellStyle name="SAPBEXtitle 3 4" xfId="51137" xr:uid="{00000000-0005-0000-0000-0000F9C50000}"/>
    <cellStyle name="SAPBEXtitle 4" xfId="49721" xr:uid="{00000000-0005-0000-0000-0000FAC50000}"/>
    <cellStyle name="SAPBEXtitle 4 2" xfId="50971" xr:uid="{00000000-0005-0000-0000-0000FBC50000}"/>
    <cellStyle name="SAPBEXtitle 4 3" xfId="51262" xr:uid="{00000000-0005-0000-0000-0000FCC50000}"/>
    <cellStyle name="SAPBEXtitle 5" xfId="49971" xr:uid="{00000000-0005-0000-0000-0000FDC50000}"/>
    <cellStyle name="SAPBEXtitle 5 2" xfId="51016" xr:uid="{00000000-0005-0000-0000-0000FEC50000}"/>
    <cellStyle name="SAPBEXtitle 5 3" xfId="51321" xr:uid="{00000000-0005-0000-0000-0000FFC50000}"/>
    <cellStyle name="SAPBEXtitle 6" xfId="50666" xr:uid="{00000000-0005-0000-0000-000000C60000}"/>
    <cellStyle name="SAPBEXtitle 7" xfId="50871" xr:uid="{00000000-0005-0000-0000-000001C60000}"/>
    <cellStyle name="SAPBEXtitle 8" xfId="49349"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0"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097" xr:uid="{00000000-0005-0000-0000-0000ECC60000}"/>
    <cellStyle name="SAPBEXundefined 2 2 3" xfId="47596" xr:uid="{00000000-0005-0000-0000-0000EDC60000}"/>
    <cellStyle name="SAPBEXundefined 2 2 3 2" xfId="51149" xr:uid="{00000000-0005-0000-0000-0000EEC60000}"/>
    <cellStyle name="SAPBEXundefined 2 2 4" xfId="49912" xr:uid="{00000000-0005-0000-0000-0000EFC60000}"/>
    <cellStyle name="SAPBEXundefined 2 3" xfId="47597" xr:uid="{00000000-0005-0000-0000-0000F0C60000}"/>
    <cellStyle name="SAPBEXundefined 2 3 2" xfId="47598" xr:uid="{00000000-0005-0000-0000-0000F1C60000}"/>
    <cellStyle name="SAPBEXundefined 2 3 3" xfId="50455" xr:uid="{00000000-0005-0000-0000-0000F2C60000}"/>
    <cellStyle name="SAPBEXundefined 2 4" xfId="47599" xr:uid="{00000000-0005-0000-0000-0000F3C60000}"/>
    <cellStyle name="SAPBEXundefined 2 4 2" xfId="51633" xr:uid="{00000000-0005-0000-0000-0000F4C60000}"/>
    <cellStyle name="SAPBEXundefined 2 5" xfId="49584"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0" xr:uid="{00000000-0005-0000-0000-000002C70000}"/>
    <cellStyle name="SAPBEXundefined 3 2 3" xfId="51318" xr:uid="{00000000-0005-0000-0000-000003C70000}"/>
    <cellStyle name="SAPBEXundefined 3 2 4" xfId="49945" xr:uid="{00000000-0005-0000-0000-000004C70000}"/>
    <cellStyle name="SAPBEXundefined 3 3" xfId="47612" xr:uid="{00000000-0005-0000-0000-000005C70000}"/>
    <cellStyle name="SAPBEXundefined 3 3 2" xfId="50429" xr:uid="{00000000-0005-0000-0000-000006C70000}"/>
    <cellStyle name="SAPBEXundefined 3 4" xfId="50936" xr:uid="{00000000-0005-0000-0000-000007C70000}"/>
    <cellStyle name="SAPBEXundefined 3 5" xfId="49617"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1" xr:uid="{00000000-0005-0000-0000-00000CC70000}"/>
    <cellStyle name="SAPBEXundefined 4" xfId="47616" xr:uid="{00000000-0005-0000-0000-00000DC70000}"/>
    <cellStyle name="SAPBEXundefined 4 2" xfId="47617" xr:uid="{00000000-0005-0000-0000-00000EC70000}"/>
    <cellStyle name="SAPBEXundefined 4 2 2" xfId="51001" xr:uid="{00000000-0005-0000-0000-00000FC70000}"/>
    <cellStyle name="SAPBEXundefined 4 2 3" xfId="51576" xr:uid="{00000000-0005-0000-0000-000010C70000}"/>
    <cellStyle name="SAPBEXundefined 4 2 4" xfId="49956" xr:uid="{00000000-0005-0000-0000-000011C70000}"/>
    <cellStyle name="SAPBEXundefined 4 3" xfId="50926" xr:uid="{00000000-0005-0000-0000-000012C70000}"/>
    <cellStyle name="SAPBEXundefined 4 4" xfId="50819" xr:uid="{00000000-0005-0000-0000-000013C70000}"/>
    <cellStyle name="SAPBEXundefined 4 5" xfId="49628" xr:uid="{00000000-0005-0000-0000-000014C70000}"/>
    <cellStyle name="SAPBEXundefined 5" xfId="47618" xr:uid="{00000000-0005-0000-0000-000015C70000}"/>
    <cellStyle name="SAPBEXundefined 5 2" xfId="50898" xr:uid="{00000000-0005-0000-0000-000016C70000}"/>
    <cellStyle name="SAPBEXundefined 5 3" xfId="51520" xr:uid="{00000000-0005-0000-0000-000017C70000}"/>
    <cellStyle name="SAPBEXundefined 5 4" xfId="49722" xr:uid="{00000000-0005-0000-0000-000018C70000}"/>
    <cellStyle name="SAPBEXundefined 6" xfId="47619" xr:uid="{00000000-0005-0000-0000-000019C70000}"/>
    <cellStyle name="SAPBEXundefined 6 2" xfId="51015" xr:uid="{00000000-0005-0000-0000-00001AC70000}"/>
    <cellStyle name="SAPBEXundefined 6 3" xfId="51548" xr:uid="{00000000-0005-0000-0000-00001BC70000}"/>
    <cellStyle name="SAPBEXundefined 6 4" xfId="49970" xr:uid="{00000000-0005-0000-0000-00001CC70000}"/>
    <cellStyle name="SAPBEXundefined 7" xfId="47620" xr:uid="{00000000-0005-0000-0000-00001DC70000}"/>
    <cellStyle name="SAPBEXundefined 7 2" xfId="50665" xr:uid="{00000000-0005-0000-0000-00001EC70000}"/>
    <cellStyle name="SAPBEXundefined 8" xfId="47621" xr:uid="{00000000-0005-0000-0000-00001FC70000}"/>
    <cellStyle name="SAPBEXundefined 8 2" xfId="51145" xr:uid="{00000000-0005-0000-0000-000020C70000}"/>
    <cellStyle name="SAPBEXundefined 9" xfId="47622" xr:uid="{00000000-0005-0000-0000-000021C70000}"/>
    <cellStyle name="SAPBEXundefined 9 2" xfId="51683"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2"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3"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5" xr:uid="{00000000-0005-0000-0000-0000DCC70000}"/>
    <cellStyle name="Sub-total 2 2" xfId="49913" xr:uid="{00000000-0005-0000-0000-0000DDC70000}"/>
    <cellStyle name="Sub-total 2 2 2" xfId="50096" xr:uid="{00000000-0005-0000-0000-0000DEC70000}"/>
    <cellStyle name="Sub-total 2 2 3" xfId="51103" xr:uid="{00000000-0005-0000-0000-0000DFC70000}"/>
    <cellStyle name="Sub-total 2 3" xfId="50454" xr:uid="{00000000-0005-0000-0000-0000E0C70000}"/>
    <cellStyle name="Sub-total 2 4" xfId="50808" xr:uid="{00000000-0005-0000-0000-0000E1C70000}"/>
    <cellStyle name="Sub-total 3" xfId="49618" xr:uid="{00000000-0005-0000-0000-0000E2C70000}"/>
    <cellStyle name="Sub-total 3 2" xfId="49946" xr:uid="{00000000-0005-0000-0000-0000E3C70000}"/>
    <cellStyle name="Sub-total 3 2 2" xfId="50991" xr:uid="{00000000-0005-0000-0000-0000E4C70000}"/>
    <cellStyle name="Sub-total 3 2 3" xfId="51575" xr:uid="{00000000-0005-0000-0000-0000E5C70000}"/>
    <cellStyle name="Sub-total 3 3" xfId="50428" xr:uid="{00000000-0005-0000-0000-0000E6C70000}"/>
    <cellStyle name="Sub-total 3 4" xfId="51135" xr:uid="{00000000-0005-0000-0000-0000E7C70000}"/>
    <cellStyle name="Sub-total 4" xfId="49723" xr:uid="{00000000-0005-0000-0000-0000E8C70000}"/>
    <cellStyle name="Sub-total 4 2" xfId="50964" xr:uid="{00000000-0005-0000-0000-0000E9C70000}"/>
    <cellStyle name="Sub-total 4 3" xfId="51169" xr:uid="{00000000-0005-0000-0000-0000EAC70000}"/>
    <cellStyle name="Sub-total 5" xfId="49969" xr:uid="{00000000-0005-0000-0000-0000EBC70000}"/>
    <cellStyle name="Sub-total 5 2" xfId="51014" xr:uid="{00000000-0005-0000-0000-0000ECC70000}"/>
    <cellStyle name="Sub-total 5 3" xfId="51290" xr:uid="{00000000-0005-0000-0000-0000EDC70000}"/>
    <cellStyle name="Sub-total 6" xfId="50661" xr:uid="{00000000-0005-0000-0000-0000EEC70000}"/>
    <cellStyle name="Sub-total 7" xfId="50956" xr:uid="{00000000-0005-0000-0000-0000EFC70000}"/>
    <cellStyle name="Sub-total 8" xfId="49354"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5"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6"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57"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597" xr:uid="{00000000-0005-0000-0000-000050C80000}"/>
    <cellStyle name="Total 1 2 2 2" xfId="47897" xr:uid="{00000000-0005-0000-0000-000051C80000}"/>
    <cellStyle name="Total 1 2 2 2 2" xfId="47898" xr:uid="{00000000-0005-0000-0000-000052C80000}"/>
    <cellStyle name="Total 1 2 2 2 2 2" xfId="50086" xr:uid="{00000000-0005-0000-0000-000053C80000}"/>
    <cellStyle name="Total 1 2 2 2 3" xfId="47899" xr:uid="{00000000-0005-0000-0000-000054C80000}"/>
    <cellStyle name="Total 1 2 2 2 3 2" xfId="51155" xr:uid="{00000000-0005-0000-0000-000055C80000}"/>
    <cellStyle name="Total 1 2 2 2 4" xfId="49925"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2"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48"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0997" xr:uid="{00000000-0005-0000-0000-000070C80000}"/>
    <cellStyle name="Total 1 2 3 2 3" xfId="51113" xr:uid="{00000000-0005-0000-0000-000071C80000}"/>
    <cellStyle name="Total 1 2 3 2 4" xfId="49952" xr:uid="{00000000-0005-0000-0000-000072C80000}"/>
    <cellStyle name="Total 1 2 3 3" xfId="47923" xr:uid="{00000000-0005-0000-0000-000073C80000}"/>
    <cellStyle name="Total 1 2 3 3 2" xfId="50056" xr:uid="{00000000-0005-0000-0000-000074C80000}"/>
    <cellStyle name="Total 1 2 3 4" xfId="51253" xr:uid="{00000000-0005-0000-0000-000075C80000}"/>
    <cellStyle name="Total 1 2 3 5" xfId="49624" xr:uid="{00000000-0005-0000-0000-000076C80000}"/>
    <cellStyle name="Total 1 2 30" xfId="47924" xr:uid="{00000000-0005-0000-0000-000077C80000}"/>
    <cellStyle name="Total 1 2 31" xfId="49395" xr:uid="{00000000-0005-0000-0000-000078C80000}"/>
    <cellStyle name="Total 1 2 4" xfId="47925" xr:uid="{00000000-0005-0000-0000-000079C80000}"/>
    <cellStyle name="Total 1 2 4 2" xfId="47926" xr:uid="{00000000-0005-0000-0000-00007AC80000}"/>
    <cellStyle name="Total 1 2 4 2 2" xfId="50878" xr:uid="{00000000-0005-0000-0000-00007BC80000}"/>
    <cellStyle name="Total 1 2 4 3" xfId="47927" xr:uid="{00000000-0005-0000-0000-00007CC80000}"/>
    <cellStyle name="Total 1 2 4 3 2" xfId="51622" xr:uid="{00000000-0005-0000-0000-00007DC80000}"/>
    <cellStyle name="Total 1 2 4 4" xfId="49726"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0" xr:uid="{00000000-0005-0000-0000-000082C80000}"/>
    <cellStyle name="Total 1 2 6" xfId="47931" xr:uid="{00000000-0005-0000-0000-000083C80000}"/>
    <cellStyle name="Total 1 2 6 2" xfId="51218"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58"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5" xr:uid="{00000000-0005-0000-0000-00005BC90000}"/>
    <cellStyle name="Total 2 2 2 3" xfId="51150" xr:uid="{00000000-0005-0000-0000-00005CC90000}"/>
    <cellStyle name="Total 2 2 2 4" xfId="49914" xr:uid="{00000000-0005-0000-0000-00005DC90000}"/>
    <cellStyle name="Total 2 2 3" xfId="48145" xr:uid="{00000000-0005-0000-0000-00005EC90000}"/>
    <cellStyle name="Total 2 2 3 2" xfId="50453" xr:uid="{00000000-0005-0000-0000-00005FC90000}"/>
    <cellStyle name="Total 2 2 4" xfId="51249" xr:uid="{00000000-0005-0000-0000-000060C90000}"/>
    <cellStyle name="Total 2 2 5" xfId="49586"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2" xr:uid="{00000000-0005-0000-0000-00006EC90000}"/>
    <cellStyle name="Total 2 3 2 3" xfId="51405" xr:uid="{00000000-0005-0000-0000-00006FC90000}"/>
    <cellStyle name="Total 2 3 2 4" xfId="49947" xr:uid="{00000000-0005-0000-0000-000070C90000}"/>
    <cellStyle name="Total 2 3 3" xfId="48158" xr:uid="{00000000-0005-0000-0000-000071C90000}"/>
    <cellStyle name="Total 2 3 3 2" xfId="50427" xr:uid="{00000000-0005-0000-0000-000072C90000}"/>
    <cellStyle name="Total 2 3 4" xfId="50788" xr:uid="{00000000-0005-0000-0000-000073C90000}"/>
    <cellStyle name="Total 2 3 5" xfId="49619"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3" xr:uid="{00000000-0005-0000-0000-000080C90000}"/>
    <cellStyle name="Total 2 4 3" xfId="51428" xr:uid="{00000000-0005-0000-0000-000081C90000}"/>
    <cellStyle name="Total 2 4 4" xfId="49724"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59" xr:uid="{00000000-0005-0000-0000-00008CC90000}"/>
    <cellStyle name="Total 2 5" xfId="48179" xr:uid="{00000000-0005-0000-0000-00008DC90000}"/>
    <cellStyle name="Total 2 5 2" xfId="51013" xr:uid="{00000000-0005-0000-0000-00008EC90000}"/>
    <cellStyle name="Total 2 5 3" xfId="51115" xr:uid="{00000000-0005-0000-0000-00008FC90000}"/>
    <cellStyle name="Total 2 5 4" xfId="49968" xr:uid="{00000000-0005-0000-0000-000090C90000}"/>
    <cellStyle name="Total 2 6" xfId="48180" xr:uid="{00000000-0005-0000-0000-000091C90000}"/>
    <cellStyle name="Total 2 6 2" xfId="50658" xr:uid="{00000000-0005-0000-0000-000092C90000}"/>
    <cellStyle name="Total 2 7" xfId="48181" xr:uid="{00000000-0005-0000-0000-000093C90000}"/>
    <cellStyle name="Total 2 7 2" xfId="50804"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5" xr:uid="{00000000-0005-0000-0000-000099C90000}"/>
    <cellStyle name="Total 3 2 2 2" xfId="50094" xr:uid="{00000000-0005-0000-0000-00009AC90000}"/>
    <cellStyle name="Total 3 2 2 3" xfId="51104" xr:uid="{00000000-0005-0000-0000-00009BC90000}"/>
    <cellStyle name="Total 3 2 3" xfId="50452" xr:uid="{00000000-0005-0000-0000-00009CC90000}"/>
    <cellStyle name="Total 3 2 4" xfId="51506" xr:uid="{00000000-0005-0000-0000-00009DC90000}"/>
    <cellStyle name="Total 3 2 5" xfId="49587" xr:uid="{00000000-0005-0000-0000-00009EC90000}"/>
    <cellStyle name="Total 3 3" xfId="48186" xr:uid="{00000000-0005-0000-0000-00009FC90000}"/>
    <cellStyle name="Total 3 3 2" xfId="49948" xr:uid="{00000000-0005-0000-0000-0000A0C90000}"/>
    <cellStyle name="Total 3 3 2 2" xfId="50993" xr:uid="{00000000-0005-0000-0000-0000A1C90000}"/>
    <cellStyle name="Total 3 3 2 3" xfId="51593" xr:uid="{00000000-0005-0000-0000-0000A2C90000}"/>
    <cellStyle name="Total 3 3 3" xfId="50426" xr:uid="{00000000-0005-0000-0000-0000A3C90000}"/>
    <cellStyle name="Total 3 3 4" xfId="50852" xr:uid="{00000000-0005-0000-0000-0000A4C90000}"/>
    <cellStyle name="Total 3 3 5" xfId="49620" xr:uid="{00000000-0005-0000-0000-0000A5C90000}"/>
    <cellStyle name="Total 3 4" xfId="49725" xr:uid="{00000000-0005-0000-0000-0000A6C90000}"/>
    <cellStyle name="Total 3 4 2" xfId="50951" xr:uid="{00000000-0005-0000-0000-0000A7C90000}"/>
    <cellStyle name="Total 3 4 3" xfId="51381" xr:uid="{00000000-0005-0000-0000-0000A8C90000}"/>
    <cellStyle name="Total 3 5" xfId="49967" xr:uid="{00000000-0005-0000-0000-0000A9C90000}"/>
    <cellStyle name="Total 3 5 2" xfId="51012" xr:uid="{00000000-0005-0000-0000-0000AAC90000}"/>
    <cellStyle name="Total 3 5 3" xfId="51608" xr:uid="{00000000-0005-0000-0000-0000ABC90000}"/>
    <cellStyle name="Total 3 6" xfId="50657" xr:uid="{00000000-0005-0000-0000-0000ACC90000}"/>
    <cellStyle name="Total 3 7" xfId="51146" xr:uid="{00000000-0005-0000-0000-0000ADC90000}"/>
    <cellStyle name="Total 3 8" xfId="49360"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1"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2" xr:uid="{00000000-0005-0000-0000-0000DEC90000}"/>
    <cellStyle name="Yellow" xfId="48233" xr:uid="{00000000-0005-0000-0000-0000DFC90000}"/>
    <cellStyle name="Yellow 2" xfId="49364" xr:uid="{00000000-0005-0000-0000-0000E0C90000}"/>
    <cellStyle name="Yellow 2 2" xfId="49365" xr:uid="{00000000-0005-0000-0000-0000E1C90000}"/>
    <cellStyle name="Yellow 2 3" xfId="49366" xr:uid="{00000000-0005-0000-0000-0000E2C90000}"/>
    <cellStyle name="Yellow 2 4" xfId="49367" xr:uid="{00000000-0005-0000-0000-0000E3C90000}"/>
    <cellStyle name="Yellow 2 5" xfId="49368" xr:uid="{00000000-0005-0000-0000-0000E4C90000}"/>
    <cellStyle name="Yellow 2 6" xfId="49369" xr:uid="{00000000-0005-0000-0000-0000E5C90000}"/>
    <cellStyle name="Yellow 2 7" xfId="49370" xr:uid="{00000000-0005-0000-0000-0000E6C90000}"/>
    <cellStyle name="Yellow 2 8" xfId="49371" xr:uid="{00000000-0005-0000-0000-0000E7C90000}"/>
    <cellStyle name="Yellow 3" xfId="49363" xr:uid="{00000000-0005-0000-0000-0000E8C90000}"/>
  </cellStyles>
  <dxfs count="107">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fill>
        <patternFill patternType="darkUp">
          <fgColor rgb="FFC0C0C0"/>
        </patternFill>
      </fill>
    </dxf>
    <dxf>
      <border>
        <right style="thin">
          <color auto="1"/>
        </right>
        <vertical/>
        <horizontal/>
      </border>
    </dxf>
    <dxf>
      <fill>
        <patternFill patternType="darkUp">
          <fgColor rgb="FFC0C0C0"/>
        </patternFill>
      </fill>
    </dxf>
    <dxf>
      <border>
        <right style="thin">
          <color auto="1"/>
        </right>
        <vertical/>
        <horizontal/>
      </border>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lightDown"/>
      </fill>
    </dxf>
    <dxf>
      <fill>
        <patternFill patternType="lightDown"/>
      </fill>
    </dxf>
    <dxf>
      <fill>
        <patternFill patternType="darkUp">
          <fgColor rgb="FFC0C0C0"/>
        </patternFill>
      </fill>
    </dxf>
    <dxf>
      <fill>
        <patternFill patternType="lightDown"/>
      </fill>
    </dxf>
    <dxf>
      <fill>
        <patternFill patternType="darkUp">
          <fgColor rgb="FFC0C0C0"/>
        </patternFill>
      </fill>
    </dxf>
    <dxf>
      <fill>
        <patternFill patternType="lightDown"/>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fgColor auto="1"/>
          <bgColor theme="7" tint="0.79998168889431442"/>
        </patternFill>
      </fill>
    </dxf>
    <dxf>
      <fill>
        <patternFill patternType="lightDown"/>
      </fill>
    </dxf>
    <dxf>
      <fill>
        <patternFill patternType="darkUp">
          <fgColor rgb="FFC0C0C0"/>
        </patternFill>
      </fill>
    </dxf>
    <dxf>
      <fill>
        <patternFill patternType="lightDown"/>
      </fill>
    </dxf>
    <dxf>
      <fill>
        <patternFill patternType="lightDown"/>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ECFF"/>
      <color rgb="FFCCFFCC"/>
      <color rgb="FFFFFF99"/>
      <color rgb="FFFFFFAB"/>
      <color rgb="FFFFFFCC"/>
      <color rgb="FFFFCC99"/>
      <color rgb="FF99CCFF"/>
      <color rgb="FFFFF4D1"/>
      <color rgb="FFCC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2059781</xdr:colOff>
      <xdr:row>1</xdr:row>
      <xdr:rowOff>158</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02719" cy="702468"/>
        </a:xfrm>
        <a:prstGeom prst="rect">
          <a:avLst/>
        </a:prstGeom>
      </xdr:spPr>
    </xdr:pic>
    <xdr:clientData/>
  </xdr:twoCellAnchor>
  <xdr:twoCellAnchor editAs="oneCell">
    <xdr:from>
      <xdr:col>0</xdr:col>
      <xdr:colOff>1</xdr:colOff>
      <xdr:row>0</xdr:row>
      <xdr:rowOff>0</xdr:rowOff>
    </xdr:from>
    <xdr:to>
      <xdr:col>1</xdr:col>
      <xdr:colOff>2197385</xdr:colOff>
      <xdr:row>1</xdr:row>
      <xdr:rowOff>2184</xdr:rowOff>
    </xdr:to>
    <xdr:pic>
      <xdr:nvPicPr>
        <xdr:cNvPr id="3" name="Picture 2" descr="image of the Ofgem logo" title="Ofgem logo">
          <a:extLst>
            <a:ext uri="{FF2B5EF4-FFF2-40B4-BE49-F238E27FC236}">
              <a16:creationId xmlns:a16="http://schemas.microsoft.com/office/drawing/2014/main" id="{7CD0105B-F760-41D4-B21D-550F978E81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twoCellAnchor editAs="oneCell">
    <xdr:from>
      <xdr:col>5</xdr:col>
      <xdr:colOff>179140</xdr:colOff>
      <xdr:row>0</xdr:row>
      <xdr:rowOff>183509</xdr:rowOff>
    </xdr:from>
    <xdr:to>
      <xdr:col>5</xdr:col>
      <xdr:colOff>1055312</xdr:colOff>
      <xdr:row>0</xdr:row>
      <xdr:rowOff>561334</xdr:rowOff>
    </xdr:to>
    <xdr:pic>
      <xdr:nvPicPr>
        <xdr:cNvPr id="4" name="Picture 3" title="white box">
          <a:extLst>
            <a:ext uri="{FF2B5EF4-FFF2-40B4-BE49-F238E27FC236}">
              <a16:creationId xmlns:a16="http://schemas.microsoft.com/office/drawing/2014/main" id="{BCB364B1-7D82-4753-9837-81D27AAF6E0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08140" y="183509"/>
          <a:ext cx="865377"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2</xdr:row>
      <xdr:rowOff>0</xdr:rowOff>
    </xdr:from>
    <xdr:to>
      <xdr:col>4</xdr:col>
      <xdr:colOff>809625</xdr:colOff>
      <xdr:row>3</xdr:row>
      <xdr:rowOff>25401</xdr:rowOff>
    </xdr:to>
    <xdr:sp macro="" textlink="">
      <xdr:nvSpPr>
        <xdr:cNvPr id="2" name="Rounded Rectangle 2">
          <a:hlinkClick xmlns:r="http://schemas.openxmlformats.org/officeDocument/2006/relationships" r:id="rId1"/>
          <a:extLst>
            <a:ext uri="{FF2B5EF4-FFF2-40B4-BE49-F238E27FC236}">
              <a16:creationId xmlns:a16="http://schemas.microsoft.com/office/drawing/2014/main" id="{6488A38D-FE22-47D2-905B-E14089489FE9}"/>
            </a:ext>
          </a:extLst>
        </xdr:cNvPr>
        <xdr:cNvSpPr/>
      </xdr:nvSpPr>
      <xdr:spPr>
        <a:xfrm>
          <a:off x="10239375" y="514350"/>
          <a:ext cx="80645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oneCellAnchor>
    <xdr:from>
      <xdr:col>9</xdr:col>
      <xdr:colOff>350488</xdr:colOff>
      <xdr:row>9</xdr:row>
      <xdr:rowOff>122237</xdr:rowOff>
    </xdr:from>
    <xdr:ext cx="1825180" cy="172227"/>
    <xdr:sp macro="" textlink="">
      <xdr:nvSpPr>
        <xdr:cNvPr id="4" name="TextBox 3">
          <a:extLst>
            <a:ext uri="{FF2B5EF4-FFF2-40B4-BE49-F238E27FC236}">
              <a16:creationId xmlns:a16="http://schemas.microsoft.com/office/drawing/2014/main" id="{94E15318-620C-4C64-861B-F4D04D9D60CE}"/>
            </a:ext>
          </a:extLst>
        </xdr:cNvPr>
        <xdr:cNvSpPr txBox="1"/>
      </xdr:nvSpPr>
      <xdr:spPr>
        <a:xfrm flipH="1">
          <a:off x="14399863" y="1777206"/>
          <a:ext cx="182518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en-GB" sz="1100"/>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fgemcloud.sharepoint.com/sites/PC/Projects/RFPR%20RIIO-2/Post-Notice/Tax%20Reconciliation/Copy%20of%20RFPR%20draft%20template.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R cover"/>
      <sheetName val="Data"/>
      <sheetName val="Content &amp; Version Control"/>
      <sheetName val="R1 - RoRE"/>
      <sheetName val="Change log"/>
      <sheetName val="R2 - Rec to Revenue and Profit"/>
      <sheetName val="R3 - Totex - Reconciliation"/>
      <sheetName val="R4 - Incentives and Other Rev"/>
      <sheetName val="R5 - Financing"/>
      <sheetName val="R5a - Financing input"/>
      <sheetName val="R6 - Net Debt"/>
      <sheetName val="R6a - Net Debt input"/>
      <sheetName val="R7 - RAV"/>
      <sheetName val="R8 - Tax"/>
      <sheetName val="R9 - Corporate Governance"/>
      <sheetName val="R10 - Pensions &amp; Oth Activit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87"/>
  <sheetViews>
    <sheetView showGridLines="0" zoomScale="80" zoomScaleNormal="80" zoomScaleSheetLayoutView="90" workbookViewId="0">
      <selection activeCell="D21" sqref="D21"/>
    </sheetView>
  </sheetViews>
  <sheetFormatPr defaultRowHeight="12.4"/>
  <cols>
    <col min="1" max="1" width="8.3515625" customWidth="1"/>
    <col min="2" max="2" width="41.46875" customWidth="1"/>
    <col min="3" max="6" width="14.1171875" customWidth="1"/>
    <col min="7" max="7" width="14.1171875" style="88" customWidth="1"/>
    <col min="8" max="11" width="14.1171875" customWidth="1"/>
  </cols>
  <sheetData>
    <row r="1" spans="1:11" s="804" customFormat="1" ht="57" customHeight="1"/>
    <row r="2" spans="1:11" ht="20.65">
      <c r="A2" s="290" t="s">
        <v>0</v>
      </c>
      <c r="B2" s="291"/>
      <c r="C2" s="291"/>
      <c r="D2" s="292"/>
      <c r="E2" s="293"/>
      <c r="F2" s="291"/>
      <c r="G2" s="294"/>
      <c r="H2" s="291"/>
      <c r="I2" s="291"/>
      <c r="J2" s="291"/>
      <c r="K2" s="291"/>
    </row>
    <row r="3" spans="1:11" ht="20.65">
      <c r="A3" s="290" t="str">
        <f>Licensee</f>
        <v>Cadent-NW</v>
      </c>
      <c r="B3" s="291"/>
      <c r="C3" s="291"/>
      <c r="D3" s="293"/>
      <c r="E3" s="293"/>
      <c r="F3" s="291"/>
      <c r="G3" s="294"/>
      <c r="H3" s="291"/>
      <c r="I3" s="291"/>
      <c r="J3" s="291"/>
      <c r="K3" s="291"/>
    </row>
    <row r="4" spans="1:11" ht="20.65">
      <c r="A4" s="290" t="s">
        <v>1</v>
      </c>
      <c r="B4" s="291"/>
      <c r="C4" s="291"/>
      <c r="D4" s="293"/>
      <c r="E4" s="293"/>
      <c r="F4" s="291"/>
      <c r="G4" s="294"/>
      <c r="H4" s="291"/>
      <c r="I4" s="291"/>
      <c r="J4" s="291"/>
      <c r="K4" s="291"/>
    </row>
    <row r="5" spans="1:11" ht="20.65">
      <c r="A5" s="451"/>
      <c r="B5" s="452"/>
      <c r="C5" s="452"/>
      <c r="D5" s="453"/>
      <c r="E5" s="453"/>
      <c r="F5" s="452"/>
      <c r="G5" s="454"/>
      <c r="H5" s="452"/>
      <c r="I5" s="452"/>
      <c r="J5" s="452"/>
      <c r="K5" s="452"/>
    </row>
    <row r="6" spans="1:11" ht="13.5">
      <c r="A6" s="17"/>
      <c r="B6" s="544" t="s">
        <v>2</v>
      </c>
      <c r="C6" s="545">
        <v>2022</v>
      </c>
      <c r="D6" s="17"/>
      <c r="E6" s="17"/>
      <c r="H6" s="4"/>
      <c r="I6" s="4"/>
      <c r="J6" s="4"/>
    </row>
    <row r="7" spans="1:11" ht="13.5" customHeight="1">
      <c r="A7" s="17"/>
      <c r="B7" s="544" t="s">
        <v>3</v>
      </c>
      <c r="C7" s="546" t="s">
        <v>4</v>
      </c>
      <c r="D7" s="136"/>
      <c r="E7" s="10"/>
      <c r="F7" s="547"/>
      <c r="G7" s="193" t="s">
        <v>5</v>
      </c>
      <c r="H7" s="4"/>
      <c r="I7" s="4"/>
      <c r="J7" s="4"/>
    </row>
    <row r="8" spans="1:11" ht="13.5" customHeight="1">
      <c r="A8" s="17"/>
      <c r="B8" s="544" t="s">
        <v>6</v>
      </c>
      <c r="C8" s="548" t="str">
        <f>INDEX(Data!$A$55:$A$83,MATCH($C$7,Data!$B$55:$B$83,0),0)&amp;"2"</f>
        <v>GD2</v>
      </c>
      <c r="D8" s="136"/>
      <c r="E8" s="10"/>
      <c r="F8" s="549"/>
      <c r="G8" s="193" t="s">
        <v>7</v>
      </c>
      <c r="H8" s="4"/>
      <c r="I8" s="4"/>
      <c r="J8" s="4"/>
    </row>
    <row r="9" spans="1:11" ht="25.15">
      <c r="A9" s="17"/>
      <c r="B9" s="550" t="s">
        <v>8</v>
      </c>
      <c r="C9" s="551">
        <v>2022</v>
      </c>
      <c r="D9" s="136"/>
      <c r="E9" s="10"/>
      <c r="F9" s="552"/>
      <c r="G9" s="194" t="s">
        <v>9</v>
      </c>
      <c r="H9" s="4"/>
      <c r="I9" s="4"/>
      <c r="J9" s="4"/>
    </row>
    <row r="10" spans="1:11" ht="13.5">
      <c r="A10" s="17"/>
      <c r="B10" s="544" t="s">
        <v>10</v>
      </c>
      <c r="C10" s="551"/>
      <c r="D10" s="10"/>
      <c r="E10" s="9"/>
      <c r="F10" s="553"/>
      <c r="G10" s="193" t="s">
        <v>11</v>
      </c>
      <c r="H10" s="4"/>
      <c r="I10" s="4"/>
      <c r="J10" s="4"/>
    </row>
    <row r="11" spans="1:11" ht="13.5">
      <c r="A11" s="17"/>
      <c r="B11" s="544" t="s">
        <v>12</v>
      </c>
      <c r="C11" s="554"/>
      <c r="D11" s="9"/>
      <c r="E11" s="9"/>
      <c r="F11" s="555"/>
      <c r="G11" s="193" t="s">
        <v>13</v>
      </c>
      <c r="H11" s="4"/>
      <c r="I11" s="4"/>
      <c r="J11" s="4"/>
    </row>
    <row r="12" spans="1:11" ht="13.5">
      <c r="A12" s="17"/>
      <c r="D12" s="9"/>
      <c r="E12" s="9"/>
      <c r="F12" s="556"/>
      <c r="G12" s="193" t="s">
        <v>14</v>
      </c>
      <c r="H12" s="4"/>
      <c r="I12" s="4"/>
      <c r="J12" s="4"/>
    </row>
    <row r="13" spans="1:11" ht="13.5">
      <c r="A13" s="17"/>
      <c r="D13" s="10"/>
      <c r="E13" s="10"/>
      <c r="F13" s="557"/>
      <c r="G13" s="193" t="s">
        <v>15</v>
      </c>
      <c r="H13" s="4"/>
      <c r="I13" s="4"/>
      <c r="J13" s="4"/>
    </row>
    <row r="14" spans="1:11">
      <c r="A14" s="17"/>
      <c r="D14" s="9"/>
      <c r="E14" s="9"/>
      <c r="F14" s="9"/>
      <c r="G14" s="195"/>
    </row>
    <row r="15" spans="1:11">
      <c r="A15" s="17"/>
      <c r="D15" s="9"/>
      <c r="E15" s="9"/>
    </row>
    <row r="16" spans="1:11">
      <c r="A16" s="17"/>
      <c r="D16" s="9"/>
      <c r="E16" s="9"/>
    </row>
    <row r="17" spans="1:7">
      <c r="A17" s="17"/>
      <c r="B17" s="9"/>
      <c r="C17" s="9"/>
      <c r="D17" s="9"/>
      <c r="E17" s="9"/>
      <c r="F17" s="9"/>
      <c r="G17" s="195"/>
    </row>
    <row r="87" spans="1:1">
      <c r="A87" s="33"/>
    </row>
  </sheetData>
  <mergeCells count="1">
    <mergeCell ref="A1:XFD1"/>
  </mergeCells>
  <pageMargins left="0.70866141732283472" right="0.70866141732283472" top="0.74803149606299213" bottom="0.74803149606299213" header="0.31496062992125984" footer="0.31496062992125984"/>
  <pageSetup scale="4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Data!$F$15:$L$15</xm:f>
          </x14:formula1>
          <xm:sqref>C9</xm:sqref>
        </x14:dataValidation>
        <x14:dataValidation type="list" allowBlank="1" showInputMessage="1" showErrorMessage="1" xr:uid="{00000000-0002-0000-0000-000001000000}">
          <x14:formula1>
            <xm:f>Data!$B$55:$B$83</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D9D9D9"/>
  </sheetPr>
  <dimension ref="A1:W317"/>
  <sheetViews>
    <sheetView showGridLines="0" zoomScale="80" zoomScaleNormal="80" workbookViewId="0">
      <pane ySplit="4" topLeftCell="A5" activePane="bottomLeft" state="frozen"/>
      <selection activeCell="B26" sqref="B26"/>
      <selection pane="bottomLeft" activeCell="C15" sqref="C15:N19"/>
    </sheetView>
  </sheetViews>
  <sheetFormatPr defaultRowHeight="12.4"/>
  <cols>
    <col min="1" max="1" width="8.3515625" customWidth="1"/>
    <col min="2" max="2" width="45.46875" customWidth="1"/>
    <col min="3" max="3" width="17.76171875" customWidth="1"/>
    <col min="4" max="4" width="13" customWidth="1"/>
    <col min="5" max="5" width="11.76171875" customWidth="1"/>
    <col min="6" max="6" width="11.234375" customWidth="1"/>
    <col min="7" max="7" width="13.76171875" customWidth="1"/>
    <col min="8" max="8" width="16.87890625" bestFit="1" customWidth="1"/>
    <col min="9" max="9" width="11.1171875" bestFit="1" customWidth="1"/>
    <col min="10" max="10" width="12.3515625" customWidth="1"/>
    <col min="11" max="11" width="11.234375" customWidth="1"/>
    <col min="12" max="12" width="12" customWidth="1"/>
    <col min="13" max="13" width="11.87890625" customWidth="1"/>
    <col min="14" max="14" width="12.76171875" customWidth="1"/>
  </cols>
  <sheetData>
    <row r="1" spans="1:14" ht="20.65">
      <c r="A1" s="777" t="s">
        <v>16</v>
      </c>
      <c r="B1" s="390"/>
      <c r="C1" s="390"/>
      <c r="D1" s="390"/>
      <c r="E1" s="390"/>
      <c r="F1" s="390"/>
      <c r="G1" s="390"/>
      <c r="H1" s="390"/>
      <c r="I1" s="390"/>
      <c r="J1" s="390"/>
      <c r="K1" s="390"/>
      <c r="L1" s="390"/>
      <c r="M1" s="390"/>
      <c r="N1" s="778"/>
    </row>
    <row r="2" spans="1:14" ht="20.65">
      <c r="A2" s="295" t="str">
        <f>Licensee</f>
        <v>Cadent-NW</v>
      </c>
      <c r="B2" s="293"/>
      <c r="C2" s="293"/>
      <c r="D2" s="293"/>
      <c r="E2" s="293"/>
      <c r="F2" s="293"/>
      <c r="G2" s="293"/>
      <c r="H2" s="293"/>
      <c r="I2" s="293"/>
      <c r="J2" s="293"/>
      <c r="K2" s="293"/>
      <c r="L2" s="293"/>
      <c r="M2" s="293"/>
      <c r="N2" s="296"/>
    </row>
    <row r="3" spans="1:14" ht="20.65">
      <c r="A3" s="290">
        <f>Reporting_Year</f>
        <v>2022</v>
      </c>
      <c r="B3" s="558"/>
      <c r="C3" s="558"/>
      <c r="D3" s="558"/>
      <c r="E3" s="558"/>
      <c r="F3" s="558"/>
      <c r="G3" s="558"/>
      <c r="H3" s="558"/>
      <c r="I3" s="558"/>
      <c r="J3" s="558"/>
      <c r="K3" s="558"/>
      <c r="L3" s="558"/>
      <c r="M3" s="558"/>
      <c r="N3" s="297"/>
    </row>
    <row r="6" spans="1:14" ht="24.75">
      <c r="B6" s="544" t="s">
        <v>17</v>
      </c>
      <c r="C6" s="561">
        <f>INDEX(O55:U83,MATCH(Licensee,Data!B55:B83,0),MATCH(Reporting_Year,Data!O54:U54,0))</f>
        <v>4.5181881000000007E-2</v>
      </c>
      <c r="F6" s="529" t="s">
        <v>18</v>
      </c>
      <c r="G6" s="88"/>
      <c r="H6" s="508" t="s">
        <v>19</v>
      </c>
      <c r="I6" s="560" t="s">
        <v>20</v>
      </c>
    </row>
    <row r="7" spans="1:14">
      <c r="B7" s="544" t="s">
        <v>21</v>
      </c>
      <c r="C7" s="561">
        <f>SUMIF(Data!$B$54:$B$83,'RFPR cover'!C7,Data!$C$54:$C$83)</f>
        <v>0.5</v>
      </c>
      <c r="F7" s="562">
        <v>0.1</v>
      </c>
      <c r="G7" s="195"/>
      <c r="H7" s="508" t="s">
        <v>22</v>
      </c>
      <c r="I7" s="509" t="s">
        <v>23</v>
      </c>
    </row>
    <row r="8" spans="1:14">
      <c r="B8" s="544" t="s">
        <v>24</v>
      </c>
      <c r="C8" s="559">
        <f>SUMIF(Data!$B$54:$B$83,'RFPR cover'!C7,Data!$D$54:$D$83)</f>
        <v>0.6</v>
      </c>
      <c r="H8" s="508" t="s">
        <v>25</v>
      </c>
      <c r="I8" s="509" t="s">
        <v>23</v>
      </c>
    </row>
    <row r="9" spans="1:14">
      <c r="B9" s="391" t="s">
        <v>26</v>
      </c>
      <c r="C9" s="548" t="str">
        <f>INDEX(Data!$F$55:$F$83,MATCH('RFPR cover'!$C$7,Data!$B$55:$B$83,0),0)</f>
        <v>£m 18/19</v>
      </c>
      <c r="H9" s="508" t="s">
        <v>27</v>
      </c>
      <c r="I9" s="509" t="s">
        <v>23</v>
      </c>
    </row>
    <row r="10" spans="1:14">
      <c r="H10" s="508" t="s">
        <v>28</v>
      </c>
      <c r="I10" s="509" t="s">
        <v>23</v>
      </c>
    </row>
    <row r="12" spans="1:14">
      <c r="B12" s="6" t="s">
        <v>29</v>
      </c>
    </row>
    <row r="13" spans="1:14">
      <c r="A13" s="17"/>
      <c r="B13" s="563" t="s">
        <v>30</v>
      </c>
      <c r="C13" s="564" t="str">
        <f t="shared" ref="C13:N13" si="0">IF(VALUE(C15)&lt;=Reporting_Year,"Actual","Forecast")</f>
        <v>Actual</v>
      </c>
      <c r="D13" s="564" t="str">
        <f t="shared" si="0"/>
        <v>Actual</v>
      </c>
      <c r="E13" s="564" t="str">
        <f t="shared" si="0"/>
        <v>Actual</v>
      </c>
      <c r="F13" s="564" t="str">
        <f t="shared" si="0"/>
        <v>Actual</v>
      </c>
      <c r="G13" s="564" t="str">
        <f t="shared" si="0"/>
        <v>Forecast</v>
      </c>
      <c r="H13" s="564" t="str">
        <f t="shared" si="0"/>
        <v>Forecast</v>
      </c>
      <c r="I13" s="564" t="str">
        <f t="shared" si="0"/>
        <v>Forecast</v>
      </c>
      <c r="J13" s="564" t="str">
        <f t="shared" si="0"/>
        <v>Forecast</v>
      </c>
      <c r="K13" s="564" t="str">
        <f t="shared" si="0"/>
        <v>Forecast</v>
      </c>
      <c r="L13" s="564" t="str">
        <f t="shared" si="0"/>
        <v>Forecast</v>
      </c>
      <c r="M13" s="564" t="str">
        <f t="shared" si="0"/>
        <v>Forecast</v>
      </c>
      <c r="N13" s="564" t="str">
        <f t="shared" si="0"/>
        <v>Forecast</v>
      </c>
    </row>
    <row r="14" spans="1:14">
      <c r="A14" s="17"/>
      <c r="B14" s="563" t="s">
        <v>31</v>
      </c>
      <c r="C14" s="565">
        <v>43555</v>
      </c>
      <c r="D14" s="566">
        <v>43921</v>
      </c>
      <c r="E14" s="566">
        <v>44286</v>
      </c>
      <c r="F14" s="566">
        <v>44651</v>
      </c>
      <c r="G14" s="566">
        <v>45016</v>
      </c>
      <c r="H14" s="565">
        <v>45382</v>
      </c>
      <c r="I14" s="565">
        <v>45747</v>
      </c>
      <c r="J14" s="565">
        <v>46112</v>
      </c>
      <c r="K14" s="565">
        <v>46477</v>
      </c>
      <c r="L14" s="565">
        <v>46843</v>
      </c>
      <c r="M14" s="565">
        <v>47208</v>
      </c>
      <c r="N14" s="565">
        <v>47573</v>
      </c>
    </row>
    <row r="15" spans="1:14">
      <c r="A15" s="17"/>
      <c r="B15" s="563" t="s">
        <v>32</v>
      </c>
      <c r="C15" s="567">
        <v>2019</v>
      </c>
      <c r="D15" s="568">
        <v>2020</v>
      </c>
      <c r="E15" s="567">
        <v>2021</v>
      </c>
      <c r="F15" s="568">
        <v>2022</v>
      </c>
      <c r="G15" s="567">
        <v>2023</v>
      </c>
      <c r="H15" s="568">
        <v>2024</v>
      </c>
      <c r="I15" s="567">
        <v>2025</v>
      </c>
      <c r="J15" s="568">
        <v>2026</v>
      </c>
      <c r="K15" s="567">
        <v>2027</v>
      </c>
      <c r="L15" s="568">
        <v>2028</v>
      </c>
      <c r="M15" s="567">
        <v>2029</v>
      </c>
      <c r="N15" s="568">
        <v>2030</v>
      </c>
    </row>
    <row r="16" spans="1:14">
      <c r="A16" s="17"/>
      <c r="B16" s="569" t="s">
        <v>33</v>
      </c>
      <c r="C16" s="616">
        <v>283.30833333333334</v>
      </c>
      <c r="D16" s="617">
        <v>290.64166666666665</v>
      </c>
      <c r="E16" s="617">
        <v>294.16666666666669</v>
      </c>
      <c r="F16" s="617">
        <v>307.32821397646848</v>
      </c>
      <c r="G16" s="617">
        <v>330.96395938982295</v>
      </c>
      <c r="H16" s="617">
        <v>341.96868856063776</v>
      </c>
      <c r="I16" s="617">
        <v>347.76302971972729</v>
      </c>
      <c r="J16" s="617">
        <v>354.40696896406115</v>
      </c>
      <c r="K16" s="426">
        <f t="shared" ref="K16:N17" si="1">J16*(1+K$20)</f>
        <v>361.49510834334239</v>
      </c>
      <c r="L16" s="426">
        <f t="shared" si="1"/>
        <v>368.72501051020924</v>
      </c>
      <c r="M16" s="426">
        <f t="shared" si="1"/>
        <v>376.09951072041343</v>
      </c>
      <c r="N16" s="426">
        <f t="shared" si="1"/>
        <v>383.62150093482171</v>
      </c>
    </row>
    <row r="17" spans="1:23">
      <c r="A17" s="17"/>
      <c r="B17" s="563" t="s">
        <v>34</v>
      </c>
      <c r="C17" s="616">
        <v>286.64999999999998</v>
      </c>
      <c r="D17" s="617">
        <v>292.60000000000002</v>
      </c>
      <c r="E17" s="617">
        <v>298.42363263445759</v>
      </c>
      <c r="F17" s="617">
        <v>319.91658048382931</v>
      </c>
      <c r="G17" s="617">
        <v>337.82117245956056</v>
      </c>
      <c r="H17" s="617">
        <v>344.75394696522062</v>
      </c>
      <c r="I17" s="617">
        <v>350.98716524424435</v>
      </c>
      <c r="J17" s="617">
        <v>357.62377789692238</v>
      </c>
      <c r="K17" s="426">
        <f t="shared" si="1"/>
        <v>364.77625345486081</v>
      </c>
      <c r="L17" s="426">
        <f t="shared" si="1"/>
        <v>372.07177852395802</v>
      </c>
      <c r="M17" s="426">
        <f t="shared" si="1"/>
        <v>379.51321409443716</v>
      </c>
      <c r="N17" s="426">
        <f t="shared" si="1"/>
        <v>387.10347837632588</v>
      </c>
    </row>
    <row r="18" spans="1:23" ht="12.75">
      <c r="A18" s="17"/>
      <c r="B18" s="563" t="s">
        <v>35</v>
      </c>
      <c r="C18" s="448">
        <v>0.19</v>
      </c>
      <c r="D18" s="618">
        <v>0.19</v>
      </c>
      <c r="E18" s="618">
        <v>0.19</v>
      </c>
      <c r="F18" s="618">
        <v>0.19</v>
      </c>
      <c r="G18" s="448">
        <v>0.19</v>
      </c>
      <c r="H18" s="448">
        <v>0.25</v>
      </c>
      <c r="I18" s="448">
        <v>0.25</v>
      </c>
      <c r="J18" s="448">
        <v>0.25</v>
      </c>
      <c r="K18" s="447">
        <v>0.25</v>
      </c>
      <c r="L18" s="447">
        <v>0.25</v>
      </c>
      <c r="M18" s="447">
        <v>0.25</v>
      </c>
      <c r="N18" s="447">
        <v>0.25</v>
      </c>
    </row>
    <row r="19" spans="1:23">
      <c r="A19" s="17"/>
      <c r="B19" s="334" t="s">
        <v>36</v>
      </c>
      <c r="C19" s="619">
        <v>106.43333333333334</v>
      </c>
      <c r="D19" s="619">
        <v>108.24166666666663</v>
      </c>
      <c r="E19" s="619">
        <v>109.10833333333335</v>
      </c>
      <c r="F19" s="619">
        <v>113.11666666666667</v>
      </c>
      <c r="G19" s="619">
        <v>121.81615019519597</v>
      </c>
      <c r="H19" s="619">
        <v>125.86660252843778</v>
      </c>
      <c r="I19" s="619">
        <v>127.99929496485652</v>
      </c>
      <c r="J19" s="619">
        <v>130.44469446505488</v>
      </c>
      <c r="K19" s="426">
        <f>J19*(1+K$20)</f>
        <v>133.05358835435598</v>
      </c>
      <c r="L19" s="426">
        <f>K19*(1+L$20)</f>
        <v>135.7146601214431</v>
      </c>
      <c r="M19" s="426">
        <f>L19*(1+M$20)</f>
        <v>138.42895332387198</v>
      </c>
      <c r="N19" s="426">
        <f>M19*(1+N$20)</f>
        <v>141.19753239034941</v>
      </c>
      <c r="U19" s="326"/>
      <c r="V19" s="326"/>
    </row>
    <row r="20" spans="1:23" ht="15.4">
      <c r="A20" s="17"/>
      <c r="B20" s="563" t="s">
        <v>37</v>
      </c>
      <c r="C20" s="334"/>
      <c r="D20" s="334"/>
      <c r="E20" s="334"/>
      <c r="F20" s="334"/>
      <c r="G20" s="334"/>
      <c r="H20" s="335"/>
      <c r="I20" s="334"/>
      <c r="J20" s="334"/>
      <c r="K20" s="448">
        <v>0.02</v>
      </c>
      <c r="L20" s="448">
        <v>0.02</v>
      </c>
      <c r="M20" s="448">
        <v>0.02</v>
      </c>
      <c r="N20" s="448">
        <v>0.02</v>
      </c>
      <c r="O20" s="371" t="s">
        <v>38</v>
      </c>
      <c r="U20" s="326"/>
      <c r="V20" s="326"/>
    </row>
    <row r="21" spans="1:23" ht="15.4">
      <c r="A21" s="17"/>
      <c r="B21" s="331"/>
      <c r="C21" s="327"/>
      <c r="D21" s="327"/>
      <c r="E21" s="327"/>
      <c r="F21" s="327"/>
      <c r="G21" s="327"/>
      <c r="U21" s="326"/>
      <c r="V21" s="326"/>
    </row>
    <row r="22" spans="1:23" ht="15.4">
      <c r="A22" s="17"/>
      <c r="B22" s="342"/>
      <c r="C22" s="343"/>
      <c r="D22" s="671"/>
      <c r="E22" s="343"/>
      <c r="F22" s="343"/>
      <c r="G22" s="343"/>
      <c r="U22" s="326"/>
      <c r="V22" s="326"/>
    </row>
    <row r="23" spans="1:23">
      <c r="B23" s="321"/>
      <c r="C23" s="525"/>
      <c r="D23" s="322"/>
      <c r="E23" s="323"/>
      <c r="F23" s="323"/>
      <c r="G23" s="324"/>
    </row>
    <row r="24" spans="1:23">
      <c r="D24" s="564" t="str">
        <f>IF(D25&lt;='RFPR cover'!$C$9,"Actuals","Forecast")</f>
        <v>Actuals</v>
      </c>
      <c r="E24" s="564" t="str">
        <f>IF(E25&lt;='RFPR cover'!$C$9,"Actuals","Forecast")</f>
        <v>Actuals</v>
      </c>
      <c r="F24" s="564" t="str">
        <f>IF(F25&lt;='RFPR cover'!$C$9,"Actuals","Forecast")</f>
        <v>Forecast</v>
      </c>
      <c r="G24" s="564" t="str">
        <f>IF(G25&lt;='RFPR cover'!$C$9,"Actuals","Forecast")</f>
        <v>Forecast</v>
      </c>
      <c r="H24" s="564" t="str">
        <f>IF(H25&lt;='RFPR cover'!$C$9,"Actuals","Forecast")</f>
        <v>Forecast</v>
      </c>
      <c r="I24" s="564" t="str">
        <f>IF(I25&lt;='RFPR cover'!$C$9,"Actuals","Forecast")</f>
        <v>Forecast</v>
      </c>
      <c r="J24" s="564" t="str">
        <f>IF(J25&lt;='RFPR cover'!$C$9,"Actuals","Forecast")</f>
        <v>Forecast</v>
      </c>
      <c r="K24" s="564" t="str">
        <f>IF(K25&lt;='RFPR cover'!$C$9,"Actuals","Forecast")</f>
        <v>Forecast</v>
      </c>
    </row>
    <row r="25" spans="1:23" ht="14.25" customHeight="1">
      <c r="D25" s="392">
        <v>2021</v>
      </c>
      <c r="E25" s="393">
        <f t="shared" ref="E25:K25" si="2">D25+1</f>
        <v>2022</v>
      </c>
      <c r="F25" s="393">
        <f t="shared" si="2"/>
        <v>2023</v>
      </c>
      <c r="G25" s="393">
        <f t="shared" si="2"/>
        <v>2024</v>
      </c>
      <c r="H25" s="393">
        <f t="shared" si="2"/>
        <v>2025</v>
      </c>
      <c r="I25" s="393">
        <f t="shared" si="2"/>
        <v>2026</v>
      </c>
      <c r="J25" s="393">
        <f t="shared" si="2"/>
        <v>2027</v>
      </c>
      <c r="K25" s="393">
        <f t="shared" si="2"/>
        <v>2028</v>
      </c>
      <c r="M25" s="27"/>
    </row>
    <row r="26" spans="1:23" ht="48.75" customHeight="1">
      <c r="C26" s="570" t="s">
        <v>39</v>
      </c>
      <c r="D26" s="432">
        <f t="shared" ref="D26:K26" si="3">IF(SectorCov="ED2",G16/INDEX($C$16:$N$16,MATCH($E$15,$C$15:$N$15,0)),E16/INDEX($C$16:$N$16,MATCH($C$15,$C$15:$N$15,0)))</f>
        <v>1.0383269111980469</v>
      </c>
      <c r="E26" s="432">
        <f t="shared" si="3"/>
        <v>1.0847835302284383</v>
      </c>
      <c r="F26" s="432">
        <f t="shared" si="3"/>
        <v>1.1682111694202062</v>
      </c>
      <c r="G26" s="432">
        <f t="shared" si="3"/>
        <v>1.2070548174037865</v>
      </c>
      <c r="H26" s="432">
        <f t="shared" si="3"/>
        <v>1.2275072378847331</v>
      </c>
      <c r="I26" s="432">
        <f t="shared" si="3"/>
        <v>1.2509585044470788</v>
      </c>
      <c r="J26" s="432">
        <f t="shared" si="3"/>
        <v>1.2759776745360205</v>
      </c>
      <c r="K26" s="432">
        <f t="shared" si="3"/>
        <v>1.3014972280267409</v>
      </c>
      <c r="M26" s="347"/>
      <c r="N26" s="347"/>
      <c r="O26" s="347"/>
      <c r="P26" s="347"/>
      <c r="Q26" s="347"/>
      <c r="R26" s="347"/>
    </row>
    <row r="27" spans="1:23" ht="58.5" customHeight="1">
      <c r="C27" s="379" t="s">
        <v>40</v>
      </c>
      <c r="D27" s="432">
        <f>INDEX(Data!$C$16:$N$16,MATCH(D$25,Data!$C$15:$N$15,0))/INDEX(Data!$C$16:$N$16,MATCH(D$25-1,Data!$C$15:$N$15,0))</f>
        <v>1.0121283367262093</v>
      </c>
      <c r="E27" s="432">
        <f>INDEX(Data!$C$16:$N$16,MATCH(E$25,Data!$C$15:$N$15,0))/INDEX(Data!$C$16:$N$16,MATCH(E$25-1,Data!$C$15:$N$15,0))</f>
        <v>1.0447418038860117</v>
      </c>
      <c r="F27" s="432">
        <f>INDEX(Data!$C$16:$N$16,MATCH(F$25,Data!$C$15:$N$15,0))/INDEX(Data!$C$16:$N$16,MATCH(F$25-1,Data!$C$15:$N$15,0))</f>
        <v>1.0769071772081564</v>
      </c>
      <c r="G27" s="432">
        <f>INDEX(Data!$C$16:$N$16,MATCH(G$25,Data!$C$15:$N$15,0))/INDEX(Data!$C$16:$N$16,MATCH(G$25-1,Data!$C$15:$N$15,0))</f>
        <v>1.033250536375935</v>
      </c>
      <c r="H27" s="432">
        <f>INDEX(Data!$C$16:$N$16,MATCH(H$25,Data!$C$15:$N$15,0))/INDEX(Data!$C$16:$N$16,MATCH(H$25-1,Data!$C$15:$N$15,0))</f>
        <v>1.0169440693049361</v>
      </c>
      <c r="I27" s="432">
        <f>INDEX(Data!$C$16:$N$16,MATCH(I$25,Data!$C$15:$N$15,0))/INDEX(Data!$C$16:$N$16,MATCH(I$25-1,Data!$C$15:$N$15,0))</f>
        <v>1.0191047888261395</v>
      </c>
      <c r="J27" s="432">
        <f>INDEX(Data!$C$16:$N$16,MATCH(J$25,Data!$C$15:$N$15,0))/INDEX(Data!$C$16:$N$16,MATCH(J$25-1,Data!$C$15:$N$15,0))</f>
        <v>1.02</v>
      </c>
      <c r="K27" s="432">
        <f>INDEX(Data!$C$16:$N$16,MATCH(K$25,Data!$C$15:$N$15,0))/INDEX(Data!$C$16:$N$16,MATCH(K$25-1,Data!$C$15:$N$15,0))</f>
        <v>1.02</v>
      </c>
      <c r="M27" s="347"/>
    </row>
    <row r="28" spans="1:23" ht="71.25" customHeight="1">
      <c r="C28" s="379" t="s">
        <v>41</v>
      </c>
      <c r="D28" s="432">
        <f>IF(SectorCov="ED2",INDEX(Data!$C$17:$N$17,MATCH(D$25,Data!$C$15:$N$15,0))/Data!$E$16,INDEX(Data!$C$17:$N$17,MATCH(D$25,Data!$C$15:$N$15,0))/Data!$C$16)</f>
        <v>1.0533528227824487</v>
      </c>
      <c r="E28" s="432">
        <f>IF(SectorCov="ED2",INDEX(Data!$C$17:$N$17,MATCH(E$25,Data!$C$15:$N$15,0))/Data!$E$16,INDEX(Data!$C$17:$N$17,MATCH(E$25,Data!$C$15:$N$15,0))/Data!$C$16)</f>
        <v>1.1292169796764278</v>
      </c>
      <c r="F28" s="432">
        <f>IF(SectorCov="ED2",INDEX(Data!$C$17:$N$17,MATCH(F$25,Data!$C$15:$N$15,0))/Data!$E$16,INDEX(Data!$C$17:$N$17,MATCH(F$25,Data!$C$15:$N$15,0))/Data!$C$16)</f>
        <v>1.192415233554351</v>
      </c>
      <c r="G28" s="432">
        <f>IF(SectorCov="ED2",INDEX(Data!$C$17:$N$17,MATCH(G$25,Data!$C$15:$N$15,0))/Data!$E$16,INDEX(Data!$C$17:$N$17,MATCH(G$25,Data!$C$15:$N$15,0))/Data!$C$16)</f>
        <v>1.2168860086427178</v>
      </c>
      <c r="H28" s="432">
        <f>IF(SectorCov="ED2",INDEX(Data!$C$17:$N$17,MATCH(H$25,Data!$C$15:$N$15,0))/Data!$E$16,INDEX(Data!$C$17:$N$17,MATCH(H$25,Data!$C$15:$N$15,0))/Data!$C$16)</f>
        <v>1.2388875438806166</v>
      </c>
      <c r="I28" s="432">
        <f>IF(SectorCov="ED2",INDEX(Data!$C$17:$N$17,MATCH(I$25,Data!$C$15:$N$15,0))/Data!$E$16,INDEX(Data!$C$17:$N$17,MATCH(I$25,Data!$C$15:$N$15,0))/Data!$C$16)</f>
        <v>1.262312949602338</v>
      </c>
      <c r="J28" s="432">
        <f>IF(SectorCov="ED2",INDEX(Data!$C$17:$N$17,MATCH(J$25,Data!$C$15:$N$15,0))/Data!$E$16,INDEX(Data!$C$17:$N$17,MATCH(J$25,Data!$C$15:$N$15,0))/Data!$C$16)</f>
        <v>1.2875592085943848</v>
      </c>
      <c r="K28" s="432">
        <f>IF(SectorCov="ED2",INDEX(Data!$C$17:$N$17,MATCH(K$25,Data!$C$15:$N$15,0))/Data!$E$16,INDEX(Data!$C$17:$N$17,MATCH(K$25,Data!$C$15:$N$15,0))/Data!$C$16)</f>
        <v>1.3133103927662724</v>
      </c>
      <c r="M28" s="347"/>
    </row>
    <row r="29" spans="1:23">
      <c r="A29" s="332"/>
      <c r="B29" s="332"/>
      <c r="C29" s="332"/>
      <c r="M29" s="347"/>
      <c r="N29" s="332"/>
      <c r="O29" s="332"/>
      <c r="P29" s="332"/>
      <c r="Q29" s="332"/>
      <c r="R29" s="332"/>
      <c r="S29" s="332"/>
      <c r="T29" s="332"/>
      <c r="U29" s="332"/>
      <c r="V29" s="332"/>
      <c r="W29" s="332"/>
    </row>
    <row r="30" spans="1:23">
      <c r="B30" s="270"/>
      <c r="C30" s="325"/>
      <c r="D30" s="325"/>
      <c r="E30" s="325"/>
      <c r="F30" s="325"/>
      <c r="G30" s="325"/>
      <c r="H30" s="325"/>
      <c r="I30" s="325"/>
      <c r="J30" s="325"/>
      <c r="K30" s="325"/>
      <c r="M30" s="347"/>
    </row>
    <row r="31" spans="1:23">
      <c r="E31" s="370"/>
      <c r="F31" s="370"/>
      <c r="G31" s="370"/>
      <c r="H31" s="370"/>
      <c r="I31" s="370"/>
      <c r="J31" s="370"/>
      <c r="K31" s="370"/>
      <c r="L31" s="370"/>
      <c r="M31" s="347"/>
    </row>
    <row r="32" spans="1:23">
      <c r="B32" s="270"/>
      <c r="C32" s="325"/>
      <c r="D32" s="325"/>
      <c r="E32" s="325"/>
      <c r="F32" s="325"/>
      <c r="G32" s="325"/>
      <c r="H32" s="325"/>
      <c r="I32" s="325"/>
      <c r="J32" s="325"/>
    </row>
    <row r="33" spans="1:20">
      <c r="B33" s="163"/>
      <c r="C33" s="163"/>
      <c r="D33" s="98"/>
      <c r="E33" s="163"/>
      <c r="F33" s="164"/>
      <c r="G33" s="165"/>
      <c r="H33" s="165"/>
      <c r="I33" s="165"/>
      <c r="J33" s="166"/>
      <c r="K33" s="166"/>
      <c r="L33" s="98"/>
      <c r="M33" s="98"/>
      <c r="N33" s="98"/>
      <c r="O33" s="98"/>
      <c r="P33" s="98"/>
      <c r="Q33" s="98"/>
      <c r="R33" s="98"/>
      <c r="S33" s="98"/>
      <c r="T33" s="98"/>
    </row>
    <row r="34" spans="1:20">
      <c r="B34" s="162" t="s">
        <v>42</v>
      </c>
      <c r="C34" s="88"/>
      <c r="I34" s="39"/>
    </row>
    <row r="35" spans="1:20">
      <c r="C35" s="392">
        <f>RIIO_2_start_date</f>
        <v>2022</v>
      </c>
      <c r="D35" s="393">
        <f t="shared" ref="D35" si="4">C35+1</f>
        <v>2023</v>
      </c>
      <c r="E35" s="393">
        <f t="shared" ref="E35" si="5">D35+1</f>
        <v>2024</v>
      </c>
      <c r="F35" s="393">
        <f t="shared" ref="F35" si="6">E35+1</f>
        <v>2025</v>
      </c>
      <c r="G35" s="393">
        <f t="shared" ref="G35" si="7">F35+1</f>
        <v>2026</v>
      </c>
      <c r="H35" s="393">
        <f t="shared" ref="H35" si="8">G35+1</f>
        <v>2027</v>
      </c>
      <c r="I35" s="393">
        <f t="shared" ref="I35" si="9">H35+1</f>
        <v>2028</v>
      </c>
      <c r="J35" s="393">
        <f t="shared" ref="J35" si="10">I35+1</f>
        <v>2029</v>
      </c>
    </row>
    <row r="36" spans="1:20">
      <c r="B36" s="389" t="s">
        <v>43</v>
      </c>
      <c r="C36" s="380"/>
      <c r="D36" s="381"/>
      <c r="E36" s="353"/>
      <c r="F36" s="353"/>
      <c r="G36" s="353"/>
      <c r="H36" s="353"/>
      <c r="I36" s="354"/>
    </row>
    <row r="37" spans="1:20">
      <c r="A37" s="340"/>
      <c r="B37" s="383" t="s">
        <v>44</v>
      </c>
      <c r="C37" s="382"/>
      <c r="D37" s="196"/>
      <c r="E37" s="355"/>
      <c r="F37" s="355"/>
      <c r="G37" s="355"/>
      <c r="H37" s="355"/>
      <c r="I37" s="161"/>
    </row>
    <row r="38" spans="1:20">
      <c r="A38" s="340"/>
      <c r="B38" s="383" t="s">
        <v>45</v>
      </c>
      <c r="C38" s="383">
        <v>1.8143044979056552E-2</v>
      </c>
      <c r="D38" s="355">
        <v>1.5909426602326575E-2</v>
      </c>
      <c r="E38" s="355">
        <v>1.5486013713550701E-2</v>
      </c>
      <c r="F38" s="355">
        <v>1.4921786215027617E-2</v>
      </c>
      <c r="G38" s="355">
        <v>1.4560675534238218E-2</v>
      </c>
      <c r="H38" s="196"/>
      <c r="I38" s="384"/>
    </row>
    <row r="39" spans="1:20">
      <c r="A39" s="341"/>
      <c r="B39" s="383" t="s">
        <v>46</v>
      </c>
      <c r="C39" s="383">
        <v>2.0500000000000001E-2</v>
      </c>
      <c r="D39" s="355">
        <v>1.9E-2</v>
      </c>
      <c r="E39" s="355">
        <v>1.83E-2</v>
      </c>
      <c r="F39" s="355">
        <v>1.78E-2</v>
      </c>
      <c r="G39" s="355">
        <v>1.7500000000000002E-2</v>
      </c>
      <c r="H39" s="196"/>
      <c r="I39" s="384"/>
      <c r="N39" s="307"/>
      <c r="O39" s="307"/>
      <c r="P39" s="307"/>
      <c r="Q39" s="307"/>
      <c r="R39" s="307"/>
    </row>
    <row r="40" spans="1:20">
      <c r="A40" s="340"/>
      <c r="B40" s="383" t="s">
        <v>25</v>
      </c>
      <c r="C40" s="383">
        <v>2.0500000000000001E-2</v>
      </c>
      <c r="D40" s="355">
        <v>1.9E-2</v>
      </c>
      <c r="E40" s="355">
        <v>1.83E-2</v>
      </c>
      <c r="F40" s="355">
        <v>1.78E-2</v>
      </c>
      <c r="G40" s="355">
        <v>1.7500000000000002E-2</v>
      </c>
      <c r="H40" s="196"/>
      <c r="I40" s="384"/>
    </row>
    <row r="41" spans="1:20">
      <c r="A41" s="340"/>
      <c r="B41" s="383" t="s">
        <v>47</v>
      </c>
      <c r="C41" s="383">
        <v>2.1100000000000001E-2</v>
      </c>
      <c r="D41" s="355">
        <v>1.9599999999999999E-2</v>
      </c>
      <c r="E41" s="355">
        <v>1.89E-2</v>
      </c>
      <c r="F41" s="355">
        <v>1.84E-2</v>
      </c>
      <c r="G41" s="355">
        <v>1.8100000000000002E-2</v>
      </c>
      <c r="H41" s="196"/>
      <c r="I41" s="384"/>
    </row>
    <row r="42" spans="1:20">
      <c r="A42" s="340"/>
      <c r="B42" s="383" t="s">
        <v>27</v>
      </c>
      <c r="C42" s="383">
        <v>2.0500000000000001E-2</v>
      </c>
      <c r="D42" s="355">
        <v>1.9E-2</v>
      </c>
      <c r="E42" s="355">
        <v>1.83E-2</v>
      </c>
      <c r="F42" s="355">
        <v>1.78E-2</v>
      </c>
      <c r="G42" s="355">
        <v>1.7500000000000002E-2</v>
      </c>
      <c r="H42" s="196"/>
      <c r="I42" s="384"/>
    </row>
    <row r="43" spans="1:20">
      <c r="A43" s="340"/>
      <c r="B43" s="385" t="s">
        <v>28</v>
      </c>
      <c r="C43" s="385">
        <v>-1E-4</v>
      </c>
      <c r="D43" s="386">
        <v>9.2999999999999992E-3</v>
      </c>
      <c r="E43" s="386">
        <v>1.06E-2</v>
      </c>
      <c r="F43" s="386">
        <v>9.1999999999999998E-3</v>
      </c>
      <c r="G43" s="386">
        <v>7.7999999999999996E-3</v>
      </c>
      <c r="H43" s="387"/>
      <c r="I43" s="388"/>
    </row>
    <row r="44" spans="1:20">
      <c r="H44" s="39"/>
    </row>
    <row r="45" spans="1:20">
      <c r="B45" s="162" t="s">
        <v>48</v>
      </c>
      <c r="C45" s="88"/>
      <c r="I45" s="39"/>
    </row>
    <row r="46" spans="1:20">
      <c r="A46" s="33" t="s">
        <v>6</v>
      </c>
      <c r="C46" s="392">
        <f>RIIO_2_start_date</f>
        <v>2022</v>
      </c>
      <c r="D46" s="393">
        <f t="shared" ref="D46:J46" si="11">C46+1</f>
        <v>2023</v>
      </c>
      <c r="E46" s="393">
        <f t="shared" si="11"/>
        <v>2024</v>
      </c>
      <c r="F46" s="393">
        <f t="shared" si="11"/>
        <v>2025</v>
      </c>
      <c r="G46" s="393">
        <f t="shared" si="11"/>
        <v>2026</v>
      </c>
      <c r="H46" s="393">
        <f t="shared" si="11"/>
        <v>2027</v>
      </c>
      <c r="I46" s="393">
        <f t="shared" si="11"/>
        <v>2028</v>
      </c>
      <c r="J46" s="393">
        <f t="shared" si="11"/>
        <v>2029</v>
      </c>
    </row>
    <row r="47" spans="1:20">
      <c r="A47" s="33" t="s">
        <v>49</v>
      </c>
      <c r="B47" s="383" t="s">
        <v>19</v>
      </c>
      <c r="C47" s="382"/>
      <c r="D47" s="196"/>
      <c r="E47" s="355"/>
      <c r="F47" s="355"/>
      <c r="G47" s="355"/>
      <c r="H47" s="355"/>
      <c r="I47" s="161"/>
    </row>
    <row r="48" spans="1:20">
      <c r="A48" s="33" t="s">
        <v>50</v>
      </c>
      <c r="B48" s="383" t="s">
        <v>22</v>
      </c>
      <c r="C48" s="383">
        <v>4.2439449777777784E-2</v>
      </c>
      <c r="D48" s="355">
        <v>4.2616093333333334E-2</v>
      </c>
      <c r="E48" s="355">
        <v>4.2388117333333329E-2</v>
      </c>
      <c r="F48" s="355">
        <v>4.2547130666666676E-2</v>
      </c>
      <c r="G48" s="355">
        <v>4.2685452444444452E-2</v>
      </c>
      <c r="H48" s="196"/>
      <c r="I48" s="384"/>
      <c r="N48" s="307"/>
      <c r="O48" s="307"/>
      <c r="P48" s="307"/>
      <c r="Q48" s="307"/>
      <c r="R48" s="307"/>
    </row>
    <row r="49" spans="1:23">
      <c r="A49" s="33" t="s">
        <v>51</v>
      </c>
      <c r="B49" s="383" t="s">
        <v>25</v>
      </c>
      <c r="C49" s="383">
        <v>4.5181881000000007E-2</v>
      </c>
      <c r="D49" s="355">
        <v>4.5568105000000005E-2</v>
      </c>
      <c r="E49" s="355">
        <v>4.5399131999999995E-2</v>
      </c>
      <c r="F49" s="355">
        <v>4.564052200000001E-2</v>
      </c>
      <c r="G49" s="355">
        <v>4.5833633999999998E-2</v>
      </c>
      <c r="H49" s="196"/>
      <c r="I49" s="384"/>
    </row>
    <row r="50" spans="1:23">
      <c r="A50" s="33" t="s">
        <v>52</v>
      </c>
      <c r="B50" s="383" t="s">
        <v>27</v>
      </c>
      <c r="C50" s="620">
        <v>4.5181881000000007E-2</v>
      </c>
      <c r="D50" s="621">
        <v>4.5568105000000005E-2</v>
      </c>
      <c r="E50" s="621">
        <v>4.5399131999999995E-2</v>
      </c>
      <c r="F50" s="621">
        <v>4.564052200000001E-2</v>
      </c>
      <c r="G50" s="621">
        <v>4.5833633999999998E-2</v>
      </c>
      <c r="H50" s="196"/>
      <c r="I50" s="384"/>
    </row>
    <row r="51" spans="1:23">
      <c r="A51" s="33" t="s">
        <v>53</v>
      </c>
      <c r="B51" s="385" t="s">
        <v>28</v>
      </c>
      <c r="C51" s="622">
        <v>7.5718976000000007E-2</v>
      </c>
      <c r="D51" s="622">
        <v>7.5510080000000007E-2</v>
      </c>
      <c r="E51" s="622">
        <v>7.5601472000000003E-2</v>
      </c>
      <c r="F51" s="622">
        <v>7.5470912000000001E-2</v>
      </c>
      <c r="G51" s="622">
        <v>7.5366464000000008E-2</v>
      </c>
      <c r="H51" s="472"/>
      <c r="I51" s="388"/>
    </row>
    <row r="52" spans="1:23" ht="12.75" thickBot="1">
      <c r="A52" s="340"/>
      <c r="B52" s="470"/>
      <c r="C52" s="470"/>
      <c r="D52" s="470"/>
      <c r="E52" s="470"/>
      <c r="F52" s="470"/>
      <c r="G52" s="470"/>
      <c r="H52" s="471"/>
      <c r="I52" s="471"/>
    </row>
    <row r="53" spans="1:23" s="332" customFormat="1" ht="37.5" thickBot="1">
      <c r="A53"/>
      <c r="B53" s="11"/>
      <c r="C53" s="506" t="s">
        <v>54</v>
      </c>
      <c r="D53" s="506" t="s">
        <v>55</v>
      </c>
      <c r="E53" s="506" t="s">
        <v>56</v>
      </c>
      <c r="F53" s="506" t="s">
        <v>57</v>
      </c>
      <c r="G53" s="507" t="s">
        <v>58</v>
      </c>
      <c r="H53" s="826" t="s">
        <v>59</v>
      </c>
      <c r="I53" s="827"/>
      <c r="J53" s="827"/>
      <c r="K53" s="827"/>
      <c r="L53" s="827"/>
      <c r="M53" s="827"/>
      <c r="N53" s="828"/>
      <c r="O53" s="826" t="s">
        <v>60</v>
      </c>
      <c r="P53" s="827"/>
      <c r="Q53" s="827"/>
      <c r="R53" s="827"/>
      <c r="S53" s="827"/>
      <c r="T53" s="827"/>
      <c r="U53" s="828"/>
      <c r="V53"/>
      <c r="W53"/>
    </row>
    <row r="54" spans="1:23" ht="12.75" thickBot="1">
      <c r="A54" s="131" t="s">
        <v>6</v>
      </c>
      <c r="B54" s="501" t="s">
        <v>61</v>
      </c>
      <c r="C54" s="502"/>
      <c r="D54" s="502"/>
      <c r="E54" s="503"/>
      <c r="F54" s="504"/>
      <c r="G54" s="505"/>
      <c r="H54" s="482">
        <v>2022</v>
      </c>
      <c r="I54" s="483">
        <f t="shared" ref="I54:N54" si="12">H54+1</f>
        <v>2023</v>
      </c>
      <c r="J54" s="483">
        <f t="shared" si="12"/>
        <v>2024</v>
      </c>
      <c r="K54" s="484">
        <f t="shared" si="12"/>
        <v>2025</v>
      </c>
      <c r="L54" s="484">
        <f t="shared" si="12"/>
        <v>2026</v>
      </c>
      <c r="M54" s="484">
        <f t="shared" si="12"/>
        <v>2027</v>
      </c>
      <c r="N54" s="485">
        <f t="shared" si="12"/>
        <v>2028</v>
      </c>
      <c r="O54" s="482">
        <v>2022</v>
      </c>
      <c r="P54" s="483">
        <f t="shared" ref="P54:U54" si="13">O54+1</f>
        <v>2023</v>
      </c>
      <c r="Q54" s="483">
        <f t="shared" si="13"/>
        <v>2024</v>
      </c>
      <c r="R54" s="484">
        <f t="shared" si="13"/>
        <v>2025</v>
      </c>
      <c r="S54" s="484">
        <f t="shared" si="13"/>
        <v>2026</v>
      </c>
      <c r="T54" s="484">
        <f t="shared" si="13"/>
        <v>2027</v>
      </c>
      <c r="U54" s="485">
        <f t="shared" si="13"/>
        <v>2028</v>
      </c>
    </row>
    <row r="55" spans="1:23">
      <c r="A55" s="33" t="s">
        <v>19</v>
      </c>
      <c r="B55" s="491" t="s">
        <v>62</v>
      </c>
      <c r="C55" s="488"/>
      <c r="D55" s="488"/>
      <c r="E55" s="492">
        <v>2024</v>
      </c>
      <c r="F55" s="493" t="str">
        <f t="shared" ref="F55:F83" si="14">VLOOKUP($A55,$H$6:$I$10,2,FALSE)</f>
        <v>£m 20/21</v>
      </c>
      <c r="G55" s="494" t="s">
        <v>44</v>
      </c>
      <c r="H55" s="486"/>
      <c r="I55" s="487"/>
      <c r="J55" s="488">
        <f t="shared" ref="J55:N68" si="15">INDEX($C$36:$I$43,MATCH($G55,$B$36:$B$43,0),MATCH(J$54,$C$35:$I$35))</f>
        <v>0</v>
      </c>
      <c r="K55" s="488">
        <f t="shared" si="15"/>
        <v>0</v>
      </c>
      <c r="L55" s="488">
        <f t="shared" si="15"/>
        <v>0</v>
      </c>
      <c r="M55" s="489">
        <f t="shared" si="15"/>
        <v>0</v>
      </c>
      <c r="N55" s="490">
        <f t="shared" si="15"/>
        <v>0</v>
      </c>
      <c r="O55" s="473"/>
      <c r="P55" s="381"/>
      <c r="Q55" s="353">
        <f t="shared" ref="Q55:U68" si="16">INDEX($C$47:$I$51,MATCH($A55,$B$47:$B$51,0),MATCH(Q$54,$C$46:$I$46))</f>
        <v>0</v>
      </c>
      <c r="R55" s="353">
        <f t="shared" si="16"/>
        <v>0</v>
      </c>
      <c r="S55" s="353">
        <f t="shared" si="16"/>
        <v>0</v>
      </c>
      <c r="T55" s="415">
        <f t="shared" si="16"/>
        <v>0</v>
      </c>
      <c r="U55" s="474">
        <f t="shared" si="16"/>
        <v>0</v>
      </c>
    </row>
    <row r="56" spans="1:23">
      <c r="A56" s="33" t="s">
        <v>19</v>
      </c>
      <c r="B56" s="495" t="s">
        <v>63</v>
      </c>
      <c r="C56" s="355"/>
      <c r="D56" s="355"/>
      <c r="E56" s="137">
        <v>2024</v>
      </c>
      <c r="F56" s="138" t="str">
        <f t="shared" si="14"/>
        <v>£m 20/21</v>
      </c>
      <c r="G56" s="496" t="s">
        <v>44</v>
      </c>
      <c r="H56" s="475"/>
      <c r="I56" s="196"/>
      <c r="J56" s="355">
        <f t="shared" si="15"/>
        <v>0</v>
      </c>
      <c r="K56" s="355">
        <f t="shared" si="15"/>
        <v>0</v>
      </c>
      <c r="L56" s="355">
        <f t="shared" si="15"/>
        <v>0</v>
      </c>
      <c r="M56" s="415">
        <f t="shared" si="15"/>
        <v>0</v>
      </c>
      <c r="N56" s="474">
        <f t="shared" si="15"/>
        <v>0</v>
      </c>
      <c r="O56" s="475"/>
      <c r="P56" s="196"/>
      <c r="Q56" s="355">
        <f t="shared" si="16"/>
        <v>0</v>
      </c>
      <c r="R56" s="355">
        <f t="shared" si="16"/>
        <v>0</v>
      </c>
      <c r="S56" s="355">
        <f t="shared" si="16"/>
        <v>0</v>
      </c>
      <c r="T56" s="415">
        <f t="shared" si="16"/>
        <v>0</v>
      </c>
      <c r="U56" s="474">
        <f t="shared" si="16"/>
        <v>0</v>
      </c>
    </row>
    <row r="57" spans="1:23">
      <c r="A57" s="33" t="s">
        <v>19</v>
      </c>
      <c r="B57" s="495" t="s">
        <v>64</v>
      </c>
      <c r="C57" s="355"/>
      <c r="D57" s="355"/>
      <c r="E57" s="137">
        <v>2024</v>
      </c>
      <c r="F57" s="138" t="str">
        <f t="shared" si="14"/>
        <v>£m 20/21</v>
      </c>
      <c r="G57" s="496" t="s">
        <v>44</v>
      </c>
      <c r="H57" s="475"/>
      <c r="I57" s="196"/>
      <c r="J57" s="355">
        <f t="shared" si="15"/>
        <v>0</v>
      </c>
      <c r="K57" s="355">
        <f t="shared" si="15"/>
        <v>0</v>
      </c>
      <c r="L57" s="355">
        <f t="shared" si="15"/>
        <v>0</v>
      </c>
      <c r="M57" s="415">
        <f t="shared" si="15"/>
        <v>0</v>
      </c>
      <c r="N57" s="474">
        <f t="shared" si="15"/>
        <v>0</v>
      </c>
      <c r="O57" s="475"/>
      <c r="P57" s="196"/>
      <c r="Q57" s="355">
        <f t="shared" si="16"/>
        <v>0</v>
      </c>
      <c r="R57" s="355">
        <f t="shared" si="16"/>
        <v>0</v>
      </c>
      <c r="S57" s="355">
        <f t="shared" si="16"/>
        <v>0</v>
      </c>
      <c r="T57" s="415">
        <f t="shared" si="16"/>
        <v>0</v>
      </c>
      <c r="U57" s="474">
        <f t="shared" si="16"/>
        <v>0</v>
      </c>
    </row>
    <row r="58" spans="1:23">
      <c r="A58" s="33" t="s">
        <v>19</v>
      </c>
      <c r="B58" s="495" t="s">
        <v>65</v>
      </c>
      <c r="C58" s="355"/>
      <c r="D58" s="355"/>
      <c r="E58" s="137">
        <v>2024</v>
      </c>
      <c r="F58" s="138" t="str">
        <f t="shared" si="14"/>
        <v>£m 20/21</v>
      </c>
      <c r="G58" s="496" t="s">
        <v>44</v>
      </c>
      <c r="H58" s="475"/>
      <c r="I58" s="196"/>
      <c r="J58" s="355">
        <f t="shared" si="15"/>
        <v>0</v>
      </c>
      <c r="K58" s="355">
        <f t="shared" si="15"/>
        <v>0</v>
      </c>
      <c r="L58" s="355">
        <f t="shared" si="15"/>
        <v>0</v>
      </c>
      <c r="M58" s="415">
        <f t="shared" si="15"/>
        <v>0</v>
      </c>
      <c r="N58" s="474">
        <f t="shared" si="15"/>
        <v>0</v>
      </c>
      <c r="O58" s="475"/>
      <c r="P58" s="196"/>
      <c r="Q58" s="355">
        <f t="shared" si="16"/>
        <v>0</v>
      </c>
      <c r="R58" s="355">
        <f t="shared" si="16"/>
        <v>0</v>
      </c>
      <c r="S58" s="355">
        <f t="shared" si="16"/>
        <v>0</v>
      </c>
      <c r="T58" s="415">
        <f t="shared" si="16"/>
        <v>0</v>
      </c>
      <c r="U58" s="474">
        <f t="shared" si="16"/>
        <v>0</v>
      </c>
    </row>
    <row r="59" spans="1:23">
      <c r="A59" s="33" t="s">
        <v>19</v>
      </c>
      <c r="B59" s="495" t="s">
        <v>66</v>
      </c>
      <c r="C59" s="355"/>
      <c r="D59" s="355"/>
      <c r="E59" s="137">
        <v>2024</v>
      </c>
      <c r="F59" s="138" t="str">
        <f t="shared" si="14"/>
        <v>£m 20/21</v>
      </c>
      <c r="G59" s="496" t="s">
        <v>44</v>
      </c>
      <c r="H59" s="475"/>
      <c r="I59" s="196"/>
      <c r="J59" s="355">
        <f t="shared" si="15"/>
        <v>0</v>
      </c>
      <c r="K59" s="355">
        <f t="shared" si="15"/>
        <v>0</v>
      </c>
      <c r="L59" s="355">
        <f t="shared" si="15"/>
        <v>0</v>
      </c>
      <c r="M59" s="415">
        <f t="shared" si="15"/>
        <v>0</v>
      </c>
      <c r="N59" s="474">
        <f t="shared" si="15"/>
        <v>0</v>
      </c>
      <c r="O59" s="475"/>
      <c r="P59" s="196"/>
      <c r="Q59" s="355">
        <f t="shared" si="16"/>
        <v>0</v>
      </c>
      <c r="R59" s="355">
        <f t="shared" si="16"/>
        <v>0</v>
      </c>
      <c r="S59" s="355">
        <f t="shared" si="16"/>
        <v>0</v>
      </c>
      <c r="T59" s="415">
        <f t="shared" si="16"/>
        <v>0</v>
      </c>
      <c r="U59" s="474">
        <f t="shared" si="16"/>
        <v>0</v>
      </c>
    </row>
    <row r="60" spans="1:23">
      <c r="A60" s="33" t="s">
        <v>19</v>
      </c>
      <c r="B60" s="495" t="s">
        <v>67</v>
      </c>
      <c r="C60" s="355"/>
      <c r="D60" s="355"/>
      <c r="E60" s="137">
        <v>2024</v>
      </c>
      <c r="F60" s="138" t="str">
        <f t="shared" si="14"/>
        <v>£m 20/21</v>
      </c>
      <c r="G60" s="496" t="s">
        <v>44</v>
      </c>
      <c r="H60" s="475"/>
      <c r="I60" s="196"/>
      <c r="J60" s="355">
        <f t="shared" si="15"/>
        <v>0</v>
      </c>
      <c r="K60" s="355">
        <f t="shared" si="15"/>
        <v>0</v>
      </c>
      <c r="L60" s="355">
        <f t="shared" si="15"/>
        <v>0</v>
      </c>
      <c r="M60" s="415">
        <f t="shared" si="15"/>
        <v>0</v>
      </c>
      <c r="N60" s="474">
        <f t="shared" si="15"/>
        <v>0</v>
      </c>
      <c r="O60" s="475"/>
      <c r="P60" s="196"/>
      <c r="Q60" s="355">
        <f t="shared" si="16"/>
        <v>0</v>
      </c>
      <c r="R60" s="355">
        <f t="shared" si="16"/>
        <v>0</v>
      </c>
      <c r="S60" s="355">
        <f t="shared" si="16"/>
        <v>0</v>
      </c>
      <c r="T60" s="415">
        <f t="shared" si="16"/>
        <v>0</v>
      </c>
      <c r="U60" s="474">
        <f t="shared" si="16"/>
        <v>0</v>
      </c>
    </row>
    <row r="61" spans="1:23">
      <c r="A61" s="33" t="s">
        <v>19</v>
      </c>
      <c r="B61" s="495" t="s">
        <v>68</v>
      </c>
      <c r="C61" s="355"/>
      <c r="D61" s="355"/>
      <c r="E61" s="137">
        <v>2024</v>
      </c>
      <c r="F61" s="138" t="str">
        <f t="shared" si="14"/>
        <v>£m 20/21</v>
      </c>
      <c r="G61" s="496" t="s">
        <v>44</v>
      </c>
      <c r="H61" s="475"/>
      <c r="I61" s="196"/>
      <c r="J61" s="355">
        <f t="shared" si="15"/>
        <v>0</v>
      </c>
      <c r="K61" s="355">
        <f t="shared" si="15"/>
        <v>0</v>
      </c>
      <c r="L61" s="355">
        <f t="shared" si="15"/>
        <v>0</v>
      </c>
      <c r="M61" s="415">
        <f t="shared" si="15"/>
        <v>0</v>
      </c>
      <c r="N61" s="474">
        <f t="shared" si="15"/>
        <v>0</v>
      </c>
      <c r="O61" s="475"/>
      <c r="P61" s="196"/>
      <c r="Q61" s="355">
        <f t="shared" si="16"/>
        <v>0</v>
      </c>
      <c r="R61" s="355">
        <f t="shared" si="16"/>
        <v>0</v>
      </c>
      <c r="S61" s="355">
        <f t="shared" si="16"/>
        <v>0</v>
      </c>
      <c r="T61" s="415">
        <f t="shared" si="16"/>
        <v>0</v>
      </c>
      <c r="U61" s="474">
        <f t="shared" si="16"/>
        <v>0</v>
      </c>
    </row>
    <row r="62" spans="1:23">
      <c r="A62" s="33" t="s">
        <v>19</v>
      </c>
      <c r="B62" s="495" t="s">
        <v>69</v>
      </c>
      <c r="C62" s="355"/>
      <c r="D62" s="355"/>
      <c r="E62" s="137">
        <v>2024</v>
      </c>
      <c r="F62" s="138" t="str">
        <f t="shared" si="14"/>
        <v>£m 20/21</v>
      </c>
      <c r="G62" s="496" t="s">
        <v>44</v>
      </c>
      <c r="H62" s="475"/>
      <c r="I62" s="196"/>
      <c r="J62" s="355">
        <f t="shared" si="15"/>
        <v>0</v>
      </c>
      <c r="K62" s="355">
        <f t="shared" si="15"/>
        <v>0</v>
      </c>
      <c r="L62" s="355">
        <f t="shared" si="15"/>
        <v>0</v>
      </c>
      <c r="M62" s="415">
        <f t="shared" si="15"/>
        <v>0</v>
      </c>
      <c r="N62" s="474">
        <f t="shared" si="15"/>
        <v>0</v>
      </c>
      <c r="O62" s="475"/>
      <c r="P62" s="196"/>
      <c r="Q62" s="355">
        <f t="shared" si="16"/>
        <v>0</v>
      </c>
      <c r="R62" s="355">
        <f t="shared" si="16"/>
        <v>0</v>
      </c>
      <c r="S62" s="355">
        <f t="shared" si="16"/>
        <v>0</v>
      </c>
      <c r="T62" s="415">
        <f t="shared" si="16"/>
        <v>0</v>
      </c>
      <c r="U62" s="474">
        <f t="shared" si="16"/>
        <v>0</v>
      </c>
    </row>
    <row r="63" spans="1:23">
      <c r="A63" s="33" t="s">
        <v>19</v>
      </c>
      <c r="B63" s="495" t="s">
        <v>70</v>
      </c>
      <c r="C63" s="355"/>
      <c r="D63" s="355"/>
      <c r="E63" s="137">
        <v>2024</v>
      </c>
      <c r="F63" s="138" t="str">
        <f t="shared" si="14"/>
        <v>£m 20/21</v>
      </c>
      <c r="G63" s="496" t="s">
        <v>44</v>
      </c>
      <c r="H63" s="475"/>
      <c r="I63" s="196"/>
      <c r="J63" s="355">
        <f t="shared" si="15"/>
        <v>0</v>
      </c>
      <c r="K63" s="355">
        <f t="shared" si="15"/>
        <v>0</v>
      </c>
      <c r="L63" s="355">
        <f t="shared" si="15"/>
        <v>0</v>
      </c>
      <c r="M63" s="415">
        <f t="shared" si="15"/>
        <v>0</v>
      </c>
      <c r="N63" s="474">
        <f t="shared" si="15"/>
        <v>0</v>
      </c>
      <c r="O63" s="475"/>
      <c r="P63" s="196"/>
      <c r="Q63" s="355">
        <f t="shared" si="16"/>
        <v>0</v>
      </c>
      <c r="R63" s="355">
        <f t="shared" si="16"/>
        <v>0</v>
      </c>
      <c r="S63" s="355">
        <f t="shared" si="16"/>
        <v>0</v>
      </c>
      <c r="T63" s="415">
        <f t="shared" si="16"/>
        <v>0</v>
      </c>
      <c r="U63" s="474">
        <f t="shared" si="16"/>
        <v>0</v>
      </c>
    </row>
    <row r="64" spans="1:23">
      <c r="A64" s="33" t="s">
        <v>19</v>
      </c>
      <c r="B64" s="495" t="s">
        <v>71</v>
      </c>
      <c r="C64" s="355"/>
      <c r="D64" s="355"/>
      <c r="E64" s="137">
        <v>2024</v>
      </c>
      <c r="F64" s="138" t="str">
        <f t="shared" si="14"/>
        <v>£m 20/21</v>
      </c>
      <c r="G64" s="496" t="s">
        <v>44</v>
      </c>
      <c r="H64" s="475"/>
      <c r="I64" s="196"/>
      <c r="J64" s="355">
        <f t="shared" si="15"/>
        <v>0</v>
      </c>
      <c r="K64" s="355">
        <f t="shared" si="15"/>
        <v>0</v>
      </c>
      <c r="L64" s="355">
        <f t="shared" si="15"/>
        <v>0</v>
      </c>
      <c r="M64" s="415">
        <f t="shared" si="15"/>
        <v>0</v>
      </c>
      <c r="N64" s="474">
        <f t="shared" si="15"/>
        <v>0</v>
      </c>
      <c r="O64" s="475"/>
      <c r="P64" s="196"/>
      <c r="Q64" s="355">
        <f t="shared" si="16"/>
        <v>0</v>
      </c>
      <c r="R64" s="355">
        <f t="shared" si="16"/>
        <v>0</v>
      </c>
      <c r="S64" s="355">
        <f t="shared" si="16"/>
        <v>0</v>
      </c>
      <c r="T64" s="415">
        <f t="shared" si="16"/>
        <v>0</v>
      </c>
      <c r="U64" s="474">
        <f t="shared" si="16"/>
        <v>0</v>
      </c>
    </row>
    <row r="65" spans="1:21">
      <c r="A65" s="33" t="s">
        <v>19</v>
      </c>
      <c r="B65" s="495" t="s">
        <v>72</v>
      </c>
      <c r="C65" s="355"/>
      <c r="D65" s="355"/>
      <c r="E65" s="137">
        <v>2024</v>
      </c>
      <c r="F65" s="138" t="str">
        <f t="shared" si="14"/>
        <v>£m 20/21</v>
      </c>
      <c r="G65" s="496" t="s">
        <v>43</v>
      </c>
      <c r="H65" s="475"/>
      <c r="I65" s="196"/>
      <c r="J65" s="355">
        <f t="shared" si="15"/>
        <v>0</v>
      </c>
      <c r="K65" s="355">
        <f t="shared" si="15"/>
        <v>0</v>
      </c>
      <c r="L65" s="355">
        <f t="shared" si="15"/>
        <v>0</v>
      </c>
      <c r="M65" s="415">
        <f t="shared" si="15"/>
        <v>0</v>
      </c>
      <c r="N65" s="474">
        <f t="shared" si="15"/>
        <v>0</v>
      </c>
      <c r="O65" s="475"/>
      <c r="P65" s="196"/>
      <c r="Q65" s="355">
        <f t="shared" si="16"/>
        <v>0</v>
      </c>
      <c r="R65" s="355">
        <f t="shared" si="16"/>
        <v>0</v>
      </c>
      <c r="S65" s="355">
        <f t="shared" si="16"/>
        <v>0</v>
      </c>
      <c r="T65" s="415">
        <f t="shared" si="16"/>
        <v>0</v>
      </c>
      <c r="U65" s="474">
        <f t="shared" si="16"/>
        <v>0</v>
      </c>
    </row>
    <row r="66" spans="1:21">
      <c r="A66" s="33" t="s">
        <v>19</v>
      </c>
      <c r="B66" s="495" t="s">
        <v>73</v>
      </c>
      <c r="C66" s="355"/>
      <c r="D66" s="355"/>
      <c r="E66" s="137">
        <v>2024</v>
      </c>
      <c r="F66" s="138" t="str">
        <f t="shared" si="14"/>
        <v>£m 20/21</v>
      </c>
      <c r="G66" s="496" t="s">
        <v>43</v>
      </c>
      <c r="H66" s="475"/>
      <c r="I66" s="196"/>
      <c r="J66" s="355">
        <f t="shared" si="15"/>
        <v>0</v>
      </c>
      <c r="K66" s="355">
        <f t="shared" si="15"/>
        <v>0</v>
      </c>
      <c r="L66" s="355">
        <f t="shared" si="15"/>
        <v>0</v>
      </c>
      <c r="M66" s="415">
        <f t="shared" si="15"/>
        <v>0</v>
      </c>
      <c r="N66" s="474">
        <f t="shared" si="15"/>
        <v>0</v>
      </c>
      <c r="O66" s="475"/>
      <c r="P66" s="196"/>
      <c r="Q66" s="355">
        <f t="shared" si="16"/>
        <v>0</v>
      </c>
      <c r="R66" s="355">
        <f t="shared" si="16"/>
        <v>0</v>
      </c>
      <c r="S66" s="355">
        <f t="shared" si="16"/>
        <v>0</v>
      </c>
      <c r="T66" s="415">
        <f t="shared" si="16"/>
        <v>0</v>
      </c>
      <c r="U66" s="474">
        <f t="shared" si="16"/>
        <v>0</v>
      </c>
    </row>
    <row r="67" spans="1:21">
      <c r="A67" s="33" t="s">
        <v>19</v>
      </c>
      <c r="B67" s="495" t="s">
        <v>74</v>
      </c>
      <c r="C67" s="355"/>
      <c r="D67" s="355"/>
      <c r="E67" s="137">
        <v>2024</v>
      </c>
      <c r="F67" s="138" t="str">
        <f t="shared" si="14"/>
        <v>£m 20/21</v>
      </c>
      <c r="G67" s="496" t="s">
        <v>43</v>
      </c>
      <c r="H67" s="475"/>
      <c r="I67" s="196"/>
      <c r="J67" s="355">
        <f t="shared" si="15"/>
        <v>0</v>
      </c>
      <c r="K67" s="355">
        <f t="shared" si="15"/>
        <v>0</v>
      </c>
      <c r="L67" s="355">
        <f t="shared" si="15"/>
        <v>0</v>
      </c>
      <c r="M67" s="415">
        <f t="shared" si="15"/>
        <v>0</v>
      </c>
      <c r="N67" s="474">
        <f t="shared" si="15"/>
        <v>0</v>
      </c>
      <c r="O67" s="475"/>
      <c r="P67" s="196"/>
      <c r="Q67" s="355">
        <f t="shared" si="16"/>
        <v>0</v>
      </c>
      <c r="R67" s="355">
        <f t="shared" si="16"/>
        <v>0</v>
      </c>
      <c r="S67" s="355">
        <f t="shared" si="16"/>
        <v>0</v>
      </c>
      <c r="T67" s="415">
        <f t="shared" si="16"/>
        <v>0</v>
      </c>
      <c r="U67" s="474">
        <f t="shared" si="16"/>
        <v>0</v>
      </c>
    </row>
    <row r="68" spans="1:21">
      <c r="A68" s="33" t="s">
        <v>19</v>
      </c>
      <c r="B68" s="495" t="s">
        <v>75</v>
      </c>
      <c r="C68" s="355"/>
      <c r="D68" s="355"/>
      <c r="E68" s="137">
        <v>2024</v>
      </c>
      <c r="F68" s="138" t="str">
        <f t="shared" si="14"/>
        <v>£m 20/21</v>
      </c>
      <c r="G68" s="496" t="s">
        <v>43</v>
      </c>
      <c r="H68" s="475"/>
      <c r="I68" s="196"/>
      <c r="J68" s="355">
        <f t="shared" si="15"/>
        <v>0</v>
      </c>
      <c r="K68" s="355">
        <f t="shared" si="15"/>
        <v>0</v>
      </c>
      <c r="L68" s="355">
        <f t="shared" si="15"/>
        <v>0</v>
      </c>
      <c r="M68" s="415">
        <f t="shared" si="15"/>
        <v>0</v>
      </c>
      <c r="N68" s="474">
        <f t="shared" si="15"/>
        <v>0</v>
      </c>
      <c r="O68" s="475"/>
      <c r="P68" s="196"/>
      <c r="Q68" s="355">
        <f t="shared" si="16"/>
        <v>0</v>
      </c>
      <c r="R68" s="355">
        <f t="shared" si="16"/>
        <v>0</v>
      </c>
      <c r="S68" s="355">
        <f t="shared" si="16"/>
        <v>0</v>
      </c>
      <c r="T68" s="415">
        <f t="shared" si="16"/>
        <v>0</v>
      </c>
      <c r="U68" s="474">
        <f t="shared" si="16"/>
        <v>0</v>
      </c>
    </row>
    <row r="69" spans="1:21">
      <c r="A69" s="33" t="s">
        <v>25</v>
      </c>
      <c r="B69" s="495" t="s">
        <v>76</v>
      </c>
      <c r="C69" s="355">
        <v>0.5</v>
      </c>
      <c r="D69" s="355">
        <v>0.6</v>
      </c>
      <c r="E69" s="137">
        <v>2022</v>
      </c>
      <c r="F69" s="138" t="str">
        <f t="shared" si="14"/>
        <v>£m 18/19</v>
      </c>
      <c r="G69" s="496" t="s">
        <v>25</v>
      </c>
      <c r="H69" s="476">
        <f t="shared" ref="H69:L83" si="17">INDEX($C$36:$I$43,MATCH($G69,$B$36:$B$43,0),MATCH(H$54,$C$35:$I$35))</f>
        <v>2.0500000000000001E-2</v>
      </c>
      <c r="I69" s="355">
        <f t="shared" si="17"/>
        <v>1.9E-2</v>
      </c>
      <c r="J69" s="355">
        <f t="shared" si="17"/>
        <v>1.83E-2</v>
      </c>
      <c r="K69" s="355">
        <f t="shared" si="17"/>
        <v>1.78E-2</v>
      </c>
      <c r="L69" s="355">
        <f t="shared" si="17"/>
        <v>1.7500000000000002E-2</v>
      </c>
      <c r="M69" s="196"/>
      <c r="N69" s="477"/>
      <c r="O69" s="476">
        <f t="shared" ref="O69:S83" si="18">INDEX($C$47:$I$51,MATCH($A69,$B$47:$B$51,0),MATCH(O$54,$C$46:$I$46))</f>
        <v>4.5181881000000007E-2</v>
      </c>
      <c r="P69" s="355">
        <f t="shared" si="18"/>
        <v>4.5568105000000005E-2</v>
      </c>
      <c r="Q69" s="355">
        <f t="shared" si="18"/>
        <v>4.5399131999999995E-2</v>
      </c>
      <c r="R69" s="355">
        <f t="shared" si="18"/>
        <v>4.564052200000001E-2</v>
      </c>
      <c r="S69" s="355">
        <f t="shared" si="18"/>
        <v>4.5833633999999998E-2</v>
      </c>
      <c r="T69" s="196"/>
      <c r="U69" s="477"/>
    </row>
    <row r="70" spans="1:21">
      <c r="A70" s="33" t="s">
        <v>25</v>
      </c>
      <c r="B70" s="495" t="s">
        <v>77</v>
      </c>
      <c r="C70" s="355">
        <v>0.5</v>
      </c>
      <c r="D70" s="355">
        <v>0.6</v>
      </c>
      <c r="E70" s="137">
        <v>2022</v>
      </c>
      <c r="F70" s="138" t="str">
        <f t="shared" si="14"/>
        <v>£m 18/19</v>
      </c>
      <c r="G70" s="496" t="s">
        <v>25</v>
      </c>
      <c r="H70" s="476">
        <f t="shared" si="17"/>
        <v>2.0500000000000001E-2</v>
      </c>
      <c r="I70" s="355">
        <f t="shared" si="17"/>
        <v>1.9E-2</v>
      </c>
      <c r="J70" s="355">
        <f t="shared" si="17"/>
        <v>1.83E-2</v>
      </c>
      <c r="K70" s="355">
        <f t="shared" si="17"/>
        <v>1.78E-2</v>
      </c>
      <c r="L70" s="355">
        <f t="shared" si="17"/>
        <v>1.7500000000000002E-2</v>
      </c>
      <c r="M70" s="196"/>
      <c r="N70" s="477"/>
      <c r="O70" s="476">
        <f t="shared" si="18"/>
        <v>4.5181881000000007E-2</v>
      </c>
      <c r="P70" s="355">
        <f t="shared" si="18"/>
        <v>4.5568105000000005E-2</v>
      </c>
      <c r="Q70" s="355">
        <f t="shared" si="18"/>
        <v>4.5399131999999995E-2</v>
      </c>
      <c r="R70" s="355">
        <f t="shared" si="18"/>
        <v>4.564052200000001E-2</v>
      </c>
      <c r="S70" s="355">
        <f t="shared" si="18"/>
        <v>4.5833633999999998E-2</v>
      </c>
      <c r="T70" s="196"/>
      <c r="U70" s="477"/>
    </row>
    <row r="71" spans="1:21">
      <c r="A71" s="33" t="s">
        <v>25</v>
      </c>
      <c r="B71" s="495" t="s">
        <v>78</v>
      </c>
      <c r="C71" s="355">
        <v>0.5</v>
      </c>
      <c r="D71" s="355">
        <v>0.6</v>
      </c>
      <c r="E71" s="137">
        <v>2022</v>
      </c>
      <c r="F71" s="138" t="str">
        <f t="shared" si="14"/>
        <v>£m 18/19</v>
      </c>
      <c r="G71" s="496" t="s">
        <v>25</v>
      </c>
      <c r="H71" s="476">
        <f t="shared" si="17"/>
        <v>2.0500000000000001E-2</v>
      </c>
      <c r="I71" s="355">
        <f t="shared" si="17"/>
        <v>1.9E-2</v>
      </c>
      <c r="J71" s="355">
        <f t="shared" si="17"/>
        <v>1.83E-2</v>
      </c>
      <c r="K71" s="355">
        <f t="shared" si="17"/>
        <v>1.78E-2</v>
      </c>
      <c r="L71" s="355">
        <f t="shared" si="17"/>
        <v>1.7500000000000002E-2</v>
      </c>
      <c r="M71" s="196"/>
      <c r="N71" s="477"/>
      <c r="O71" s="476">
        <f t="shared" si="18"/>
        <v>4.5181881000000007E-2</v>
      </c>
      <c r="P71" s="355">
        <f t="shared" si="18"/>
        <v>4.5568105000000005E-2</v>
      </c>
      <c r="Q71" s="355">
        <f t="shared" si="18"/>
        <v>4.5399131999999995E-2</v>
      </c>
      <c r="R71" s="355">
        <f t="shared" si="18"/>
        <v>4.564052200000001E-2</v>
      </c>
      <c r="S71" s="355">
        <f t="shared" si="18"/>
        <v>4.5833633999999998E-2</v>
      </c>
      <c r="T71" s="196"/>
      <c r="U71" s="477"/>
    </row>
    <row r="72" spans="1:21">
      <c r="A72" s="33" t="s">
        <v>25</v>
      </c>
      <c r="B72" s="495" t="s">
        <v>4</v>
      </c>
      <c r="C72" s="355">
        <v>0.5</v>
      </c>
      <c r="D72" s="355">
        <v>0.6</v>
      </c>
      <c r="E72" s="137">
        <v>2022</v>
      </c>
      <c r="F72" s="138" t="str">
        <f t="shared" si="14"/>
        <v>£m 18/19</v>
      </c>
      <c r="G72" s="496" t="s">
        <v>25</v>
      </c>
      <c r="H72" s="476">
        <f t="shared" si="17"/>
        <v>2.0500000000000001E-2</v>
      </c>
      <c r="I72" s="355">
        <f t="shared" si="17"/>
        <v>1.9E-2</v>
      </c>
      <c r="J72" s="355">
        <f t="shared" si="17"/>
        <v>1.83E-2</v>
      </c>
      <c r="K72" s="355">
        <f t="shared" si="17"/>
        <v>1.78E-2</v>
      </c>
      <c r="L72" s="355">
        <f t="shared" si="17"/>
        <v>1.7500000000000002E-2</v>
      </c>
      <c r="M72" s="196"/>
      <c r="N72" s="477"/>
      <c r="O72" s="476">
        <f t="shared" si="18"/>
        <v>4.5181881000000007E-2</v>
      </c>
      <c r="P72" s="355">
        <f t="shared" si="18"/>
        <v>4.5568105000000005E-2</v>
      </c>
      <c r="Q72" s="355">
        <f t="shared" si="18"/>
        <v>4.5399131999999995E-2</v>
      </c>
      <c r="R72" s="355">
        <f t="shared" si="18"/>
        <v>4.564052200000001E-2</v>
      </c>
      <c r="S72" s="355">
        <f t="shared" si="18"/>
        <v>4.5833633999999998E-2</v>
      </c>
      <c r="T72" s="196"/>
      <c r="U72" s="477"/>
    </row>
    <row r="73" spans="1:21">
      <c r="A73" s="33" t="s">
        <v>25</v>
      </c>
      <c r="B73" s="495" t="s">
        <v>79</v>
      </c>
      <c r="C73" s="355">
        <v>0.51</v>
      </c>
      <c r="D73" s="355">
        <v>0.6</v>
      </c>
      <c r="E73" s="137">
        <v>2022</v>
      </c>
      <c r="F73" s="138" t="str">
        <f t="shared" si="14"/>
        <v>£m 18/19</v>
      </c>
      <c r="G73" s="496" t="s">
        <v>47</v>
      </c>
      <c r="H73" s="476">
        <f t="shared" si="17"/>
        <v>2.1100000000000001E-2</v>
      </c>
      <c r="I73" s="355">
        <f t="shared" si="17"/>
        <v>1.9599999999999999E-2</v>
      </c>
      <c r="J73" s="355">
        <f t="shared" si="17"/>
        <v>1.89E-2</v>
      </c>
      <c r="K73" s="355">
        <f t="shared" si="17"/>
        <v>1.84E-2</v>
      </c>
      <c r="L73" s="355">
        <f t="shared" si="17"/>
        <v>1.8100000000000002E-2</v>
      </c>
      <c r="M73" s="196"/>
      <c r="N73" s="477"/>
      <c r="O73" s="476">
        <f t="shared" si="18"/>
        <v>4.5181881000000007E-2</v>
      </c>
      <c r="P73" s="355">
        <f t="shared" si="18"/>
        <v>4.5568105000000005E-2</v>
      </c>
      <c r="Q73" s="355">
        <f t="shared" si="18"/>
        <v>4.5399131999999995E-2</v>
      </c>
      <c r="R73" s="355">
        <f t="shared" si="18"/>
        <v>4.564052200000001E-2</v>
      </c>
      <c r="S73" s="355">
        <f t="shared" si="18"/>
        <v>4.5833633999999998E-2</v>
      </c>
      <c r="T73" s="196"/>
      <c r="U73" s="477"/>
    </row>
    <row r="74" spans="1:21">
      <c r="A74" s="33" t="s">
        <v>25</v>
      </c>
      <c r="B74" s="495" t="s">
        <v>80</v>
      </c>
      <c r="C74" s="355">
        <v>0.51</v>
      </c>
      <c r="D74" s="355">
        <v>0.6</v>
      </c>
      <c r="E74" s="137">
        <v>2022</v>
      </c>
      <c r="F74" s="138" t="str">
        <f t="shared" si="14"/>
        <v>£m 18/19</v>
      </c>
      <c r="G74" s="496" t="s">
        <v>47</v>
      </c>
      <c r="H74" s="476">
        <f t="shared" si="17"/>
        <v>2.1100000000000001E-2</v>
      </c>
      <c r="I74" s="355">
        <f t="shared" si="17"/>
        <v>1.9599999999999999E-2</v>
      </c>
      <c r="J74" s="355">
        <f t="shared" si="17"/>
        <v>1.89E-2</v>
      </c>
      <c r="K74" s="355">
        <f t="shared" si="17"/>
        <v>1.84E-2</v>
      </c>
      <c r="L74" s="355">
        <f t="shared" si="17"/>
        <v>1.8100000000000002E-2</v>
      </c>
      <c r="M74" s="196"/>
      <c r="N74" s="477"/>
      <c r="O74" s="476">
        <f t="shared" si="18"/>
        <v>4.5181881000000007E-2</v>
      </c>
      <c r="P74" s="355">
        <f t="shared" si="18"/>
        <v>4.5568105000000005E-2</v>
      </c>
      <c r="Q74" s="355">
        <f t="shared" si="18"/>
        <v>4.5399131999999995E-2</v>
      </c>
      <c r="R74" s="355">
        <f t="shared" si="18"/>
        <v>4.564052200000001E-2</v>
      </c>
      <c r="S74" s="355">
        <f t="shared" si="18"/>
        <v>4.5833633999999998E-2</v>
      </c>
      <c r="T74" s="196"/>
      <c r="U74" s="477"/>
    </row>
    <row r="75" spans="1:21">
      <c r="A75" s="33" t="s">
        <v>25</v>
      </c>
      <c r="B75" s="495" t="s">
        <v>81</v>
      </c>
      <c r="C75" s="355">
        <v>0.5</v>
      </c>
      <c r="D75" s="355">
        <v>0.6</v>
      </c>
      <c r="E75" s="137">
        <v>2022</v>
      </c>
      <c r="F75" s="138" t="str">
        <f t="shared" si="14"/>
        <v>£m 18/19</v>
      </c>
      <c r="G75" s="496" t="s">
        <v>25</v>
      </c>
      <c r="H75" s="476">
        <f t="shared" si="17"/>
        <v>2.0500000000000001E-2</v>
      </c>
      <c r="I75" s="355">
        <f t="shared" si="17"/>
        <v>1.9E-2</v>
      </c>
      <c r="J75" s="355">
        <f t="shared" si="17"/>
        <v>1.83E-2</v>
      </c>
      <c r="K75" s="355">
        <f t="shared" si="17"/>
        <v>1.78E-2</v>
      </c>
      <c r="L75" s="355">
        <f t="shared" si="17"/>
        <v>1.7500000000000002E-2</v>
      </c>
      <c r="M75" s="196"/>
      <c r="N75" s="477"/>
      <c r="O75" s="476">
        <f t="shared" si="18"/>
        <v>4.5181881000000007E-2</v>
      </c>
      <c r="P75" s="355">
        <f t="shared" si="18"/>
        <v>4.5568105000000005E-2</v>
      </c>
      <c r="Q75" s="355">
        <f t="shared" si="18"/>
        <v>4.5399131999999995E-2</v>
      </c>
      <c r="R75" s="355">
        <f t="shared" si="18"/>
        <v>4.564052200000001E-2</v>
      </c>
      <c r="S75" s="355">
        <f t="shared" si="18"/>
        <v>4.5833633999999998E-2</v>
      </c>
      <c r="T75" s="196"/>
      <c r="U75" s="477"/>
    </row>
    <row r="76" spans="1:21">
      <c r="A76" s="33" t="s">
        <v>25</v>
      </c>
      <c r="B76" s="495" t="s">
        <v>82</v>
      </c>
      <c r="C76" s="355">
        <v>0.5</v>
      </c>
      <c r="D76" s="355">
        <v>0.6</v>
      </c>
      <c r="E76" s="137">
        <v>2022</v>
      </c>
      <c r="F76" s="138" t="str">
        <f t="shared" si="14"/>
        <v>£m 18/19</v>
      </c>
      <c r="G76" s="496" t="s">
        <v>47</v>
      </c>
      <c r="H76" s="476">
        <f t="shared" si="17"/>
        <v>2.1100000000000001E-2</v>
      </c>
      <c r="I76" s="355">
        <f t="shared" si="17"/>
        <v>1.9599999999999999E-2</v>
      </c>
      <c r="J76" s="355">
        <f t="shared" si="17"/>
        <v>1.89E-2</v>
      </c>
      <c r="K76" s="355">
        <f t="shared" si="17"/>
        <v>1.84E-2</v>
      </c>
      <c r="L76" s="355">
        <f t="shared" si="17"/>
        <v>1.8100000000000002E-2</v>
      </c>
      <c r="M76" s="196"/>
      <c r="N76" s="477"/>
      <c r="O76" s="476">
        <f t="shared" si="18"/>
        <v>4.5181881000000007E-2</v>
      </c>
      <c r="P76" s="355">
        <f t="shared" si="18"/>
        <v>4.5568105000000005E-2</v>
      </c>
      <c r="Q76" s="355">
        <f t="shared" si="18"/>
        <v>4.5399131999999995E-2</v>
      </c>
      <c r="R76" s="355">
        <f t="shared" si="18"/>
        <v>4.564052200000001E-2</v>
      </c>
      <c r="S76" s="355">
        <f t="shared" si="18"/>
        <v>4.5833633999999998E-2</v>
      </c>
      <c r="T76" s="196"/>
      <c r="U76" s="477"/>
    </row>
    <row r="77" spans="1:21">
      <c r="A77" s="33" t="s">
        <v>27</v>
      </c>
      <c r="B77" s="495" t="s">
        <v>83</v>
      </c>
      <c r="C77" s="355">
        <v>0.61</v>
      </c>
      <c r="D77" s="355">
        <v>0.6</v>
      </c>
      <c r="E77" s="137">
        <v>2022</v>
      </c>
      <c r="F77" s="138" t="str">
        <f t="shared" si="14"/>
        <v>£m 18/19</v>
      </c>
      <c r="G77" s="496" t="s">
        <v>27</v>
      </c>
      <c r="H77" s="476">
        <f t="shared" si="17"/>
        <v>2.0500000000000001E-2</v>
      </c>
      <c r="I77" s="355">
        <f t="shared" si="17"/>
        <v>1.9E-2</v>
      </c>
      <c r="J77" s="355">
        <f t="shared" si="17"/>
        <v>1.83E-2</v>
      </c>
      <c r="K77" s="355">
        <f t="shared" si="17"/>
        <v>1.78E-2</v>
      </c>
      <c r="L77" s="355">
        <f t="shared" si="17"/>
        <v>1.7500000000000002E-2</v>
      </c>
      <c r="M77" s="196"/>
      <c r="N77" s="477"/>
      <c r="O77" s="476">
        <f t="shared" si="18"/>
        <v>4.5181881000000007E-2</v>
      </c>
      <c r="P77" s="355">
        <f t="shared" si="18"/>
        <v>4.5568105000000005E-2</v>
      </c>
      <c r="Q77" s="355">
        <f t="shared" si="18"/>
        <v>4.5399131999999995E-2</v>
      </c>
      <c r="R77" s="355">
        <f t="shared" si="18"/>
        <v>4.564052200000001E-2</v>
      </c>
      <c r="S77" s="355">
        <f t="shared" si="18"/>
        <v>4.5833633999999998E-2</v>
      </c>
      <c r="T77" s="196"/>
      <c r="U77" s="477"/>
    </row>
    <row r="78" spans="1:21">
      <c r="A78" s="33" t="s">
        <v>27</v>
      </c>
      <c r="B78" s="495" t="s">
        <v>84</v>
      </c>
      <c r="C78" s="355">
        <v>0.61</v>
      </c>
      <c r="D78" s="355">
        <v>0.6</v>
      </c>
      <c r="E78" s="137">
        <v>2022</v>
      </c>
      <c r="F78" s="138" t="str">
        <f t="shared" si="14"/>
        <v>£m 18/19</v>
      </c>
      <c r="G78" s="496" t="s">
        <v>27</v>
      </c>
      <c r="H78" s="476">
        <f t="shared" si="17"/>
        <v>2.0500000000000001E-2</v>
      </c>
      <c r="I78" s="355">
        <f t="shared" si="17"/>
        <v>1.9E-2</v>
      </c>
      <c r="J78" s="355">
        <f t="shared" si="17"/>
        <v>1.83E-2</v>
      </c>
      <c r="K78" s="355">
        <f t="shared" si="17"/>
        <v>1.78E-2</v>
      </c>
      <c r="L78" s="355">
        <f t="shared" si="17"/>
        <v>1.7500000000000002E-2</v>
      </c>
      <c r="M78" s="196"/>
      <c r="N78" s="477"/>
      <c r="O78" s="476">
        <f t="shared" si="18"/>
        <v>4.5181881000000007E-2</v>
      </c>
      <c r="P78" s="355">
        <f t="shared" si="18"/>
        <v>4.5568105000000005E-2</v>
      </c>
      <c r="Q78" s="355">
        <f t="shared" si="18"/>
        <v>4.5399131999999995E-2</v>
      </c>
      <c r="R78" s="355">
        <f t="shared" si="18"/>
        <v>4.564052200000001E-2</v>
      </c>
      <c r="S78" s="355">
        <f t="shared" si="18"/>
        <v>4.5833633999999998E-2</v>
      </c>
      <c r="T78" s="196"/>
      <c r="U78" s="477"/>
    </row>
    <row r="79" spans="1:21">
      <c r="A79" s="33" t="s">
        <v>27</v>
      </c>
      <c r="B79" s="495" t="s">
        <v>85</v>
      </c>
      <c r="C79" s="355">
        <v>0.61</v>
      </c>
      <c r="D79" s="355">
        <v>0.6</v>
      </c>
      <c r="E79" s="137">
        <v>2022</v>
      </c>
      <c r="F79" s="138" t="str">
        <f t="shared" si="14"/>
        <v>£m 18/19</v>
      </c>
      <c r="G79" s="496" t="s">
        <v>27</v>
      </c>
      <c r="H79" s="476">
        <f t="shared" si="17"/>
        <v>2.0500000000000001E-2</v>
      </c>
      <c r="I79" s="355">
        <f t="shared" si="17"/>
        <v>1.9E-2</v>
      </c>
      <c r="J79" s="355">
        <f t="shared" si="17"/>
        <v>1.83E-2</v>
      </c>
      <c r="K79" s="355">
        <f t="shared" si="17"/>
        <v>1.78E-2</v>
      </c>
      <c r="L79" s="355">
        <f t="shared" si="17"/>
        <v>1.7500000000000002E-2</v>
      </c>
      <c r="M79" s="196"/>
      <c r="N79" s="477"/>
      <c r="O79" s="476">
        <f t="shared" si="18"/>
        <v>4.5181881000000007E-2</v>
      </c>
      <c r="P79" s="355">
        <f t="shared" si="18"/>
        <v>4.5568105000000005E-2</v>
      </c>
      <c r="Q79" s="355">
        <f t="shared" si="18"/>
        <v>4.5399131999999995E-2</v>
      </c>
      <c r="R79" s="355">
        <f t="shared" si="18"/>
        <v>4.564052200000001E-2</v>
      </c>
      <c r="S79" s="355">
        <f t="shared" si="18"/>
        <v>4.5833633999999998E-2</v>
      </c>
      <c r="T79" s="196"/>
      <c r="U79" s="477"/>
    </row>
    <row r="80" spans="1:21">
      <c r="A80" s="33" t="s">
        <v>22</v>
      </c>
      <c r="B80" s="495" t="s">
        <v>86</v>
      </c>
      <c r="C80" s="355">
        <v>0.67</v>
      </c>
      <c r="D80" s="355">
        <v>0.55000000000000004</v>
      </c>
      <c r="E80" s="137">
        <v>2022</v>
      </c>
      <c r="F80" s="138" t="str">
        <f t="shared" si="14"/>
        <v>£m 18/19</v>
      </c>
      <c r="G80" s="496" t="s">
        <v>46</v>
      </c>
      <c r="H80" s="476">
        <f t="shared" si="17"/>
        <v>2.0500000000000001E-2</v>
      </c>
      <c r="I80" s="355">
        <f t="shared" si="17"/>
        <v>1.9E-2</v>
      </c>
      <c r="J80" s="355">
        <f t="shared" si="17"/>
        <v>1.83E-2</v>
      </c>
      <c r="K80" s="355">
        <f t="shared" si="17"/>
        <v>1.78E-2</v>
      </c>
      <c r="L80" s="355">
        <f t="shared" si="17"/>
        <v>1.7500000000000002E-2</v>
      </c>
      <c r="M80" s="196"/>
      <c r="N80" s="477"/>
      <c r="O80" s="476">
        <f t="shared" si="18"/>
        <v>4.2439449777777784E-2</v>
      </c>
      <c r="P80" s="355">
        <f t="shared" si="18"/>
        <v>4.2616093333333334E-2</v>
      </c>
      <c r="Q80" s="355">
        <f t="shared" si="18"/>
        <v>4.2388117333333329E-2</v>
      </c>
      <c r="R80" s="355">
        <f t="shared" si="18"/>
        <v>4.2547130666666676E-2</v>
      </c>
      <c r="S80" s="355">
        <f t="shared" si="18"/>
        <v>4.2685452444444452E-2</v>
      </c>
      <c r="T80" s="196"/>
      <c r="U80" s="477"/>
    </row>
    <row r="81" spans="1:21">
      <c r="A81" s="33" t="s">
        <v>28</v>
      </c>
      <c r="B81" s="495" t="s">
        <v>28</v>
      </c>
      <c r="C81" s="355">
        <v>1</v>
      </c>
      <c r="D81" s="355">
        <v>0.55000000000000004</v>
      </c>
      <c r="E81" s="137">
        <v>2022</v>
      </c>
      <c r="F81" s="138" t="str">
        <f t="shared" si="14"/>
        <v>£m 18/19</v>
      </c>
      <c r="G81" s="496" t="s">
        <v>28</v>
      </c>
      <c r="H81" s="476">
        <f t="shared" si="17"/>
        <v>-1E-4</v>
      </c>
      <c r="I81" s="355">
        <f t="shared" si="17"/>
        <v>9.2999999999999992E-3</v>
      </c>
      <c r="J81" s="355">
        <f t="shared" si="17"/>
        <v>1.06E-2</v>
      </c>
      <c r="K81" s="355">
        <f t="shared" si="17"/>
        <v>9.1999999999999998E-3</v>
      </c>
      <c r="L81" s="355">
        <f t="shared" si="17"/>
        <v>7.7999999999999996E-3</v>
      </c>
      <c r="M81" s="196"/>
      <c r="N81" s="477"/>
      <c r="O81" s="476">
        <f t="shared" si="18"/>
        <v>7.5718976000000007E-2</v>
      </c>
      <c r="P81" s="355">
        <f t="shared" si="18"/>
        <v>7.5510080000000007E-2</v>
      </c>
      <c r="Q81" s="355">
        <f t="shared" si="18"/>
        <v>7.5601472000000003E-2</v>
      </c>
      <c r="R81" s="355">
        <f t="shared" si="18"/>
        <v>7.5470912000000001E-2</v>
      </c>
      <c r="S81" s="355">
        <f t="shared" si="18"/>
        <v>7.5366464000000008E-2</v>
      </c>
      <c r="T81" s="196"/>
      <c r="U81" s="477"/>
    </row>
    <row r="82" spans="1:21">
      <c r="A82" s="33" t="s">
        <v>22</v>
      </c>
      <c r="B82" s="495" t="s">
        <v>87</v>
      </c>
      <c r="C82" s="355">
        <v>0.51</v>
      </c>
      <c r="D82" s="355">
        <v>0.55000000000000004</v>
      </c>
      <c r="E82" s="137">
        <v>2022</v>
      </c>
      <c r="F82" s="138" t="str">
        <f t="shared" si="14"/>
        <v>£m 18/19</v>
      </c>
      <c r="G82" s="496" t="s">
        <v>46</v>
      </c>
      <c r="H82" s="476">
        <f t="shared" si="17"/>
        <v>2.0500000000000001E-2</v>
      </c>
      <c r="I82" s="355">
        <f t="shared" si="17"/>
        <v>1.9E-2</v>
      </c>
      <c r="J82" s="355">
        <f t="shared" si="17"/>
        <v>1.83E-2</v>
      </c>
      <c r="K82" s="355">
        <f t="shared" si="17"/>
        <v>1.78E-2</v>
      </c>
      <c r="L82" s="355">
        <f t="shared" si="17"/>
        <v>1.7500000000000002E-2</v>
      </c>
      <c r="M82" s="196"/>
      <c r="N82" s="477"/>
      <c r="O82" s="476">
        <f t="shared" si="18"/>
        <v>4.2439449777777784E-2</v>
      </c>
      <c r="P82" s="355">
        <f t="shared" si="18"/>
        <v>4.2616093333333334E-2</v>
      </c>
      <c r="Q82" s="355">
        <f t="shared" si="18"/>
        <v>4.2388117333333329E-2</v>
      </c>
      <c r="R82" s="355">
        <f t="shared" si="18"/>
        <v>4.2547130666666676E-2</v>
      </c>
      <c r="S82" s="355">
        <f t="shared" si="18"/>
        <v>4.2685452444444452E-2</v>
      </c>
      <c r="T82" s="196"/>
      <c r="U82" s="477"/>
    </row>
    <row r="83" spans="1:21" ht="12.75" thickBot="1">
      <c r="A83" s="33" t="s">
        <v>22</v>
      </c>
      <c r="B83" s="497" t="s">
        <v>45</v>
      </c>
      <c r="C83" s="479">
        <v>0.64</v>
      </c>
      <c r="D83" s="479">
        <v>0.55000000000000004</v>
      </c>
      <c r="E83" s="498">
        <v>2022</v>
      </c>
      <c r="F83" s="499" t="str">
        <f t="shared" si="14"/>
        <v>£m 18/19</v>
      </c>
      <c r="G83" s="500" t="s">
        <v>45</v>
      </c>
      <c r="H83" s="478">
        <f t="shared" si="17"/>
        <v>1.8143044979056552E-2</v>
      </c>
      <c r="I83" s="479">
        <f t="shared" si="17"/>
        <v>1.5909426602326575E-2</v>
      </c>
      <c r="J83" s="479">
        <f t="shared" si="17"/>
        <v>1.5486013713550701E-2</v>
      </c>
      <c r="K83" s="479">
        <f t="shared" si="17"/>
        <v>1.4921786215027617E-2</v>
      </c>
      <c r="L83" s="479">
        <f t="shared" si="17"/>
        <v>1.4560675534238218E-2</v>
      </c>
      <c r="M83" s="480"/>
      <c r="N83" s="481"/>
      <c r="O83" s="478">
        <f t="shared" si="18"/>
        <v>4.2439449777777784E-2</v>
      </c>
      <c r="P83" s="479">
        <f t="shared" si="18"/>
        <v>4.2616093333333334E-2</v>
      </c>
      <c r="Q83" s="479">
        <f t="shared" si="18"/>
        <v>4.2388117333333329E-2</v>
      </c>
      <c r="R83" s="479">
        <f t="shared" si="18"/>
        <v>4.2547130666666676E-2</v>
      </c>
      <c r="S83" s="479">
        <f t="shared" si="18"/>
        <v>4.2685452444444452E-2</v>
      </c>
      <c r="T83" s="480"/>
      <c r="U83" s="481"/>
    </row>
    <row r="84" spans="1:21">
      <c r="I84" s="39"/>
    </row>
    <row r="85" spans="1:21">
      <c r="I85" s="39"/>
    </row>
    <row r="86" spans="1:21">
      <c r="I86" s="39"/>
    </row>
    <row r="87" spans="1:21">
      <c r="B87" s="6"/>
      <c r="D87" s="344"/>
      <c r="E87" s="344"/>
      <c r="F87" s="344"/>
      <c r="G87" s="344"/>
      <c r="H87" s="344"/>
      <c r="I87" s="344"/>
      <c r="J87" s="344"/>
    </row>
    <row r="89" spans="1:21" ht="15.4">
      <c r="B89" s="312" t="s">
        <v>88</v>
      </c>
      <c r="C89" s="62">
        <v>2022</v>
      </c>
      <c r="D89" s="63">
        <f t="shared" ref="D89:I89" si="19">C89+1</f>
        <v>2023</v>
      </c>
      <c r="E89" s="63">
        <f t="shared" si="19"/>
        <v>2024</v>
      </c>
      <c r="F89" s="63">
        <f t="shared" si="19"/>
        <v>2025</v>
      </c>
      <c r="G89" s="63">
        <f t="shared" si="19"/>
        <v>2026</v>
      </c>
      <c r="H89" s="63">
        <f t="shared" si="19"/>
        <v>2027</v>
      </c>
      <c r="I89" s="63">
        <f t="shared" si="19"/>
        <v>2028</v>
      </c>
    </row>
    <row r="90" spans="1:21">
      <c r="B90" s="313" t="s">
        <v>62</v>
      </c>
      <c r="C90" s="196"/>
      <c r="D90" s="196"/>
      <c r="E90" s="314">
        <v>0</v>
      </c>
      <c r="F90" s="314">
        <v>0</v>
      </c>
      <c r="G90" s="314">
        <v>0</v>
      </c>
      <c r="H90" s="314">
        <v>0</v>
      </c>
      <c r="I90" s="314">
        <v>0</v>
      </c>
    </row>
    <row r="91" spans="1:21">
      <c r="B91" s="313" t="s">
        <v>63</v>
      </c>
      <c r="C91" s="196"/>
      <c r="D91" s="196"/>
      <c r="E91" s="314">
        <v>0</v>
      </c>
      <c r="F91" s="314">
        <v>0</v>
      </c>
      <c r="G91" s="314">
        <v>0</v>
      </c>
      <c r="H91" s="314">
        <v>0</v>
      </c>
      <c r="I91" s="314">
        <v>0</v>
      </c>
    </row>
    <row r="92" spans="1:21">
      <c r="B92" s="313" t="s">
        <v>64</v>
      </c>
      <c r="C92" s="196"/>
      <c r="D92" s="196"/>
      <c r="E92" s="314">
        <v>0</v>
      </c>
      <c r="F92" s="314">
        <v>0</v>
      </c>
      <c r="G92" s="314">
        <v>0</v>
      </c>
      <c r="H92" s="314">
        <v>0</v>
      </c>
      <c r="I92" s="314">
        <v>0</v>
      </c>
      <c r="J92" s="249"/>
      <c r="K92" s="249"/>
      <c r="L92" s="249"/>
      <c r="M92" s="249"/>
      <c r="N92" s="249"/>
    </row>
    <row r="93" spans="1:21">
      <c r="B93" s="313" t="s">
        <v>65</v>
      </c>
      <c r="C93" s="196"/>
      <c r="D93" s="196"/>
      <c r="E93" s="314">
        <v>0</v>
      </c>
      <c r="F93" s="314">
        <v>0</v>
      </c>
      <c r="G93" s="314">
        <v>0</v>
      </c>
      <c r="H93" s="314">
        <v>0</v>
      </c>
      <c r="I93" s="314">
        <v>0</v>
      </c>
    </row>
    <row r="94" spans="1:21">
      <c r="B94" s="313" t="s">
        <v>66</v>
      </c>
      <c r="C94" s="196"/>
      <c r="D94" s="196"/>
      <c r="E94" s="314">
        <v>0</v>
      </c>
      <c r="F94" s="314">
        <v>0</v>
      </c>
      <c r="G94" s="314">
        <v>0</v>
      </c>
      <c r="H94" s="314">
        <v>0</v>
      </c>
      <c r="I94" s="314">
        <v>0</v>
      </c>
    </row>
    <row r="95" spans="1:21">
      <c r="B95" s="313" t="s">
        <v>67</v>
      </c>
      <c r="C95" s="196"/>
      <c r="D95" s="196"/>
      <c r="E95" s="314">
        <v>0</v>
      </c>
      <c r="F95" s="314">
        <v>0</v>
      </c>
      <c r="G95" s="314">
        <v>0</v>
      </c>
      <c r="H95" s="314">
        <v>0</v>
      </c>
      <c r="I95" s="314">
        <v>0</v>
      </c>
    </row>
    <row r="96" spans="1:21">
      <c r="B96" s="313" t="s">
        <v>68</v>
      </c>
      <c r="C96" s="196"/>
      <c r="D96" s="196"/>
      <c r="E96" s="314">
        <v>0</v>
      </c>
      <c r="F96" s="314">
        <v>0</v>
      </c>
      <c r="G96" s="314">
        <v>0</v>
      </c>
      <c r="H96" s="314">
        <v>0</v>
      </c>
      <c r="I96" s="314">
        <v>0</v>
      </c>
    </row>
    <row r="97" spans="2:9">
      <c r="B97" s="313" t="s">
        <v>69</v>
      </c>
      <c r="C97" s="196"/>
      <c r="D97" s="196"/>
      <c r="E97" s="314">
        <v>0</v>
      </c>
      <c r="F97" s="314">
        <v>0</v>
      </c>
      <c r="G97" s="314">
        <v>0</v>
      </c>
      <c r="H97" s="314">
        <v>0</v>
      </c>
      <c r="I97" s="314">
        <v>0</v>
      </c>
    </row>
    <row r="98" spans="2:9">
      <c r="B98" s="313" t="s">
        <v>70</v>
      </c>
      <c r="C98" s="196"/>
      <c r="D98" s="196"/>
      <c r="E98" s="314">
        <v>0</v>
      </c>
      <c r="F98" s="314">
        <v>0</v>
      </c>
      <c r="G98" s="314">
        <v>0</v>
      </c>
      <c r="H98" s="314">
        <v>0</v>
      </c>
      <c r="I98" s="314">
        <v>0</v>
      </c>
    </row>
    <row r="99" spans="2:9">
      <c r="B99" s="313" t="s">
        <v>71</v>
      </c>
      <c r="C99" s="196"/>
      <c r="D99" s="196"/>
      <c r="E99" s="314">
        <v>0</v>
      </c>
      <c r="F99" s="314">
        <v>0</v>
      </c>
      <c r="G99" s="314">
        <v>0</v>
      </c>
      <c r="H99" s="314">
        <v>0</v>
      </c>
      <c r="I99" s="314">
        <v>0</v>
      </c>
    </row>
    <row r="100" spans="2:9">
      <c r="B100" s="313" t="s">
        <v>72</v>
      </c>
      <c r="C100" s="196"/>
      <c r="D100" s="196"/>
      <c r="E100" s="314">
        <v>0</v>
      </c>
      <c r="F100" s="314">
        <v>0</v>
      </c>
      <c r="G100" s="314">
        <v>0</v>
      </c>
      <c r="H100" s="314">
        <v>0</v>
      </c>
      <c r="I100" s="314">
        <v>0</v>
      </c>
    </row>
    <row r="101" spans="2:9">
      <c r="B101" s="313" t="s">
        <v>73</v>
      </c>
      <c r="C101" s="196"/>
      <c r="D101" s="196"/>
      <c r="E101" s="314">
        <v>0</v>
      </c>
      <c r="F101" s="314">
        <v>0</v>
      </c>
      <c r="G101" s="314">
        <v>0</v>
      </c>
      <c r="H101" s="314">
        <v>0</v>
      </c>
      <c r="I101" s="314">
        <v>0</v>
      </c>
    </row>
    <row r="102" spans="2:9">
      <c r="B102" s="313" t="s">
        <v>74</v>
      </c>
      <c r="C102" s="196"/>
      <c r="D102" s="196"/>
      <c r="E102" s="314">
        <v>0</v>
      </c>
      <c r="F102" s="314">
        <v>0</v>
      </c>
      <c r="G102" s="314">
        <v>0</v>
      </c>
      <c r="H102" s="314">
        <v>0</v>
      </c>
      <c r="I102" s="314">
        <v>0</v>
      </c>
    </row>
    <row r="103" spans="2:9">
      <c r="B103" s="313" t="s">
        <v>75</v>
      </c>
      <c r="C103" s="196"/>
      <c r="D103" s="196"/>
      <c r="E103" s="314">
        <v>0</v>
      </c>
      <c r="F103" s="314">
        <v>0</v>
      </c>
      <c r="G103" s="314">
        <v>0</v>
      </c>
      <c r="H103" s="314">
        <v>0</v>
      </c>
      <c r="I103" s="314">
        <v>0</v>
      </c>
    </row>
    <row r="104" spans="2:9">
      <c r="B104" s="313" t="s">
        <v>76</v>
      </c>
      <c r="C104" s="315">
        <v>3.6510479549499562E-2</v>
      </c>
      <c r="D104" s="315">
        <v>3.6510479549499562E-2</v>
      </c>
      <c r="E104" s="315">
        <v>3.6510479549499562E-2</v>
      </c>
      <c r="F104" s="315">
        <v>3.6510479549499562E-2</v>
      </c>
      <c r="G104" s="315">
        <v>3.6510479549499562E-2</v>
      </c>
      <c r="H104" s="196"/>
      <c r="I104" s="196"/>
    </row>
    <row r="105" spans="2:9">
      <c r="B105" s="313" t="s">
        <v>77</v>
      </c>
      <c r="C105" s="315">
        <v>2.7462875901387192E-2</v>
      </c>
      <c r="D105" s="315">
        <v>2.7462875901387192E-2</v>
      </c>
      <c r="E105" s="315">
        <v>2.7462875901387192E-2</v>
      </c>
      <c r="F105" s="315">
        <v>2.7462875901387192E-2</v>
      </c>
      <c r="G105" s="315">
        <v>2.7462875901387192E-2</v>
      </c>
      <c r="H105" s="196"/>
      <c r="I105" s="196"/>
    </row>
    <row r="106" spans="2:9">
      <c r="B106" s="313" t="s">
        <v>78</v>
      </c>
      <c r="C106" s="315">
        <v>1.7082326729376533E-2</v>
      </c>
      <c r="D106" s="315">
        <v>1.7082326729376533E-2</v>
      </c>
      <c r="E106" s="315">
        <v>1.7082326729376533E-2</v>
      </c>
      <c r="F106" s="315">
        <v>1.7082326729376533E-2</v>
      </c>
      <c r="G106" s="315">
        <v>1.7082326729376533E-2</v>
      </c>
      <c r="H106" s="196"/>
      <c r="I106" s="196"/>
    </row>
    <row r="107" spans="2:9">
      <c r="B107" s="313" t="s">
        <v>4</v>
      </c>
      <c r="C107" s="315">
        <v>2.5713646682447938E-2</v>
      </c>
      <c r="D107" s="315">
        <v>2.5713646682447938E-2</v>
      </c>
      <c r="E107" s="315">
        <v>2.5713646682447938E-2</v>
      </c>
      <c r="F107" s="315">
        <v>2.5713646682447938E-2</v>
      </c>
      <c r="G107" s="315">
        <v>2.5713646682447938E-2</v>
      </c>
      <c r="H107" s="196"/>
      <c r="I107" s="196"/>
    </row>
    <row r="108" spans="2:9">
      <c r="B108" s="313" t="s">
        <v>79</v>
      </c>
      <c r="C108" s="315">
        <v>0.4206045538022069</v>
      </c>
      <c r="D108" s="315">
        <v>0.4206045538022069</v>
      </c>
      <c r="E108" s="315">
        <v>0.4206045538022069</v>
      </c>
      <c r="F108" s="315">
        <v>0.4206045538022069</v>
      </c>
      <c r="G108" s="315">
        <v>0.4206045538022069</v>
      </c>
      <c r="H108" s="196"/>
      <c r="I108" s="196"/>
    </row>
    <row r="109" spans="2:9">
      <c r="B109" s="313" t="s">
        <v>80</v>
      </c>
      <c r="C109" s="314">
        <v>0</v>
      </c>
      <c r="D109" s="314">
        <v>0</v>
      </c>
      <c r="E109" s="314">
        <v>0</v>
      </c>
      <c r="F109" s="314">
        <v>0</v>
      </c>
      <c r="G109" s="314">
        <v>0</v>
      </c>
      <c r="H109" s="196"/>
      <c r="I109" s="196"/>
    </row>
    <row r="110" spans="2:9">
      <c r="B110" s="313" t="s">
        <v>81</v>
      </c>
      <c r="C110" s="314">
        <v>0</v>
      </c>
      <c r="D110" s="314">
        <v>0</v>
      </c>
      <c r="E110" s="314">
        <v>0</v>
      </c>
      <c r="F110" s="314">
        <v>0</v>
      </c>
      <c r="G110" s="314">
        <v>0</v>
      </c>
      <c r="H110" s="196"/>
      <c r="I110" s="196"/>
    </row>
    <row r="111" spans="2:9">
      <c r="B111" s="313" t="s">
        <v>82</v>
      </c>
      <c r="C111" s="314">
        <v>0</v>
      </c>
      <c r="D111" s="314">
        <v>0</v>
      </c>
      <c r="E111" s="314">
        <v>0</v>
      </c>
      <c r="F111" s="314">
        <v>0</v>
      </c>
      <c r="G111" s="314">
        <v>0</v>
      </c>
      <c r="H111" s="196"/>
      <c r="I111" s="196"/>
    </row>
    <row r="112" spans="2:9">
      <c r="B112" s="313" t="s">
        <v>83</v>
      </c>
      <c r="C112" s="316">
        <v>-4.3390000000000004</v>
      </c>
      <c r="D112" s="316">
        <v>-4.3390000000000004</v>
      </c>
      <c r="E112" s="316">
        <v>-4.3390000000000004</v>
      </c>
      <c r="F112" s="316">
        <v>-4.3390000000000004</v>
      </c>
      <c r="G112" s="316">
        <v>-4.3390000000000004</v>
      </c>
      <c r="H112" s="196"/>
      <c r="I112" s="196"/>
    </row>
    <row r="113" spans="1:14">
      <c r="B113" s="313" t="s">
        <v>84</v>
      </c>
      <c r="C113" s="314">
        <v>0</v>
      </c>
      <c r="D113" s="314">
        <v>0</v>
      </c>
      <c r="E113" s="314">
        <v>0</v>
      </c>
      <c r="F113" s="314">
        <v>0</v>
      </c>
      <c r="G113" s="314">
        <v>0</v>
      </c>
      <c r="H113" s="196"/>
      <c r="I113" s="196"/>
    </row>
    <row r="114" spans="1:14">
      <c r="B114" s="313" t="s">
        <v>85</v>
      </c>
      <c r="C114" s="316">
        <v>-4.3390000000000004</v>
      </c>
      <c r="D114" s="316">
        <v>-4.3390000000000004</v>
      </c>
      <c r="E114" s="316">
        <v>-4.3390000000000004</v>
      </c>
      <c r="F114" s="316">
        <v>-4.3390000000000004</v>
      </c>
      <c r="G114" s="316">
        <v>-4.3390000000000004</v>
      </c>
      <c r="H114" s="196"/>
      <c r="I114" s="196"/>
    </row>
    <row r="115" spans="1:14">
      <c r="B115" s="313" t="s">
        <v>86</v>
      </c>
      <c r="C115" s="319">
        <v>-13</v>
      </c>
      <c r="D115" s="319">
        <v>-13</v>
      </c>
      <c r="E115" s="319">
        <v>-13</v>
      </c>
      <c r="F115" s="319">
        <v>-13</v>
      </c>
      <c r="G115" s="319">
        <v>-13</v>
      </c>
      <c r="H115" s="196"/>
      <c r="I115" s="196"/>
    </row>
    <row r="116" spans="1:14">
      <c r="B116" s="313" t="s">
        <v>28</v>
      </c>
      <c r="C116" s="314">
        <v>0</v>
      </c>
      <c r="D116" s="314">
        <v>0</v>
      </c>
      <c r="E116" s="314">
        <v>0</v>
      </c>
      <c r="F116" s="314">
        <v>0</v>
      </c>
      <c r="G116" s="314">
        <v>0</v>
      </c>
      <c r="H116" s="196"/>
      <c r="I116" s="196"/>
    </row>
    <row r="117" spans="1:14">
      <c r="B117" s="313" t="s">
        <v>87</v>
      </c>
      <c r="C117" s="315">
        <v>1</v>
      </c>
      <c r="D117" s="315">
        <v>1</v>
      </c>
      <c r="E117" s="315">
        <v>1</v>
      </c>
      <c r="F117" s="315">
        <v>1</v>
      </c>
      <c r="G117" s="315">
        <v>1</v>
      </c>
      <c r="H117" s="196"/>
      <c r="I117" s="196"/>
    </row>
    <row r="118" spans="1:14">
      <c r="B118" s="317" t="s">
        <v>45</v>
      </c>
      <c r="C118" s="315">
        <v>4.3620000000000001</v>
      </c>
      <c r="D118" s="315">
        <v>4.3620000000000001</v>
      </c>
      <c r="E118" s="318">
        <v>4.3620000000000001</v>
      </c>
      <c r="F118" s="318">
        <v>4.3620000000000001</v>
      </c>
      <c r="G118" s="318">
        <v>4.3620000000000001</v>
      </c>
      <c r="H118" s="196"/>
      <c r="I118" s="196"/>
    </row>
    <row r="119" spans="1:14">
      <c r="B119" s="88"/>
    </row>
    <row r="120" spans="1:14">
      <c r="B120" s="394" t="str">
        <f>LEFT('RFPR cover'!C8,2)</f>
        <v>GD</v>
      </c>
      <c r="C120" s="571"/>
      <c r="D120" s="571"/>
      <c r="E120" s="571"/>
      <c r="F120" s="571"/>
      <c r="G120" s="571"/>
      <c r="H120" s="571"/>
      <c r="I120" s="571"/>
      <c r="J120" s="571"/>
      <c r="K120" s="571"/>
      <c r="L120" s="395"/>
    </row>
    <row r="121" spans="1:14">
      <c r="A121" s="92"/>
      <c r="B121" s="169" t="s">
        <v>89</v>
      </c>
      <c r="C121" s="170"/>
      <c r="D121" s="170"/>
      <c r="E121" s="170"/>
      <c r="F121" s="168"/>
      <c r="G121" s="168"/>
      <c r="H121" s="168"/>
      <c r="I121" s="168"/>
      <c r="J121" s="168"/>
      <c r="K121" s="168"/>
      <c r="L121" s="168"/>
      <c r="M121" s="168"/>
      <c r="N121" s="168"/>
    </row>
    <row r="122" spans="1:14">
      <c r="A122" s="92"/>
      <c r="B122" s="247"/>
      <c r="C122" s="248"/>
      <c r="D122" s="248"/>
      <c r="E122" s="248"/>
      <c r="F122" s="249"/>
      <c r="G122" s="249"/>
      <c r="H122" s="249"/>
      <c r="I122" s="249"/>
    </row>
    <row r="123" spans="1:14">
      <c r="A123" s="91"/>
      <c r="B123" s="572" t="s">
        <v>90</v>
      </c>
      <c r="C123" s="93"/>
      <c r="D123" s="93"/>
      <c r="E123" s="779" t="b">
        <f>OR((LEFT('RFPR cover'!$C$8,2)=Data!G123),'RFPR cover'!$C$7=Data!G123)</f>
        <v>0</v>
      </c>
      <c r="F123" s="640">
        <f t="shared" ref="F123:F126" si="20">IF(E123,1,0)</f>
        <v>0</v>
      </c>
      <c r="G123" s="780" t="str">
        <f>B132</f>
        <v>ED</v>
      </c>
    </row>
    <row r="124" spans="1:14" ht="16.5" customHeight="1">
      <c r="A124" s="91"/>
      <c r="B124" s="252" t="str">
        <f t="shared" ref="B124:B129" si="21">IF(SUM($F$123:$F$129)=0,"",CHOOSE(MATCH(TRUE,$E$123:$E$129,0),B133,B143,B153,B163,E163,B173,E173)&amp;"")</f>
        <v>Customer Satisfaction Survey ODI</v>
      </c>
      <c r="C124" s="93"/>
      <c r="D124" s="93"/>
      <c r="E124" s="641" t="b">
        <f>OR((LEFT('RFPR cover'!$C$8,2)=Data!G124),'RFPR cover'!$C$7=Data!G124)</f>
        <v>1</v>
      </c>
      <c r="F124" s="642">
        <f t="shared" si="20"/>
        <v>1</v>
      </c>
      <c r="G124" s="643" t="str">
        <f>B142</f>
        <v>GD</v>
      </c>
    </row>
    <row r="125" spans="1:14">
      <c r="A125" s="91"/>
      <c r="B125" s="252" t="str">
        <f t="shared" si="21"/>
        <v>Complaints metric ODI</v>
      </c>
      <c r="C125" s="93"/>
      <c r="D125" s="93"/>
      <c r="E125" s="641" t="b">
        <f>OR((LEFT('RFPR cover'!$C$8,2)=Data!G125),'RFPR cover'!$C$7=Data!G125)</f>
        <v>0</v>
      </c>
      <c r="F125" s="642">
        <f t="shared" si="20"/>
        <v>0</v>
      </c>
      <c r="G125" s="644" t="str">
        <f>B152</f>
        <v>NGGT (TO)</v>
      </c>
    </row>
    <row r="126" spans="1:14" ht="24.75">
      <c r="A126" s="91"/>
      <c r="B126" s="252" t="str">
        <f t="shared" si="21"/>
        <v>Unplanned Interruption Mean Duration ODI [NGN, SGN and WWU]</v>
      </c>
      <c r="C126" s="93"/>
      <c r="D126" s="93"/>
      <c r="E126" s="641" t="b">
        <f>OR((LEFT('RFPR cover'!$C$8,2)=Data!G126),'RFPR cover'!$C$7=Data!G126)</f>
        <v>0</v>
      </c>
      <c r="F126" s="642">
        <f t="shared" si="20"/>
        <v>0</v>
      </c>
      <c r="G126" s="644" t="str">
        <f>B162</f>
        <v>NGET (TO)</v>
      </c>
    </row>
    <row r="127" spans="1:14" ht="24.75">
      <c r="A127" s="91"/>
      <c r="B127" s="252" t="str">
        <f t="shared" si="21"/>
        <v>Unplanned Interruption Mean Duration ODI [Cadent only]</v>
      </c>
      <c r="C127" s="93"/>
      <c r="D127" s="93"/>
      <c r="E127" s="641" t="b">
        <f>OR((LEFT('RFPR cover'!$C$8,2)=Data!G127),'RFPR cover'!$C$7=Data!G127)</f>
        <v>0</v>
      </c>
      <c r="F127" s="642">
        <f t="shared" ref="F127" si="22">IF(E127,1,0)</f>
        <v>0</v>
      </c>
      <c r="G127" s="644" t="s">
        <v>28</v>
      </c>
    </row>
    <row r="128" spans="1:14">
      <c r="A128" s="91"/>
      <c r="B128" s="252" t="str">
        <f t="shared" si="21"/>
        <v>Shrinkage Management ODI</v>
      </c>
      <c r="C128" s="93"/>
      <c r="D128" s="93"/>
      <c r="E128" s="641" t="b">
        <f>OR((LEFT('RFPR cover'!$C$8,2)=Data!G128),'RFPR cover'!$C$7=Data!G128)</f>
        <v>0</v>
      </c>
      <c r="F128" s="642">
        <f>IF(E128,1,0)</f>
        <v>0</v>
      </c>
      <c r="G128" s="644" t="str">
        <f>B172</f>
        <v>SPT</v>
      </c>
    </row>
    <row r="129" spans="1:7" ht="24.75">
      <c r="A129" s="91"/>
      <c r="B129" s="252" t="str">
        <f t="shared" si="21"/>
        <v>Collaborative streetworks ODI [Cadent Lon &amp; EoE, SGN So only]</v>
      </c>
      <c r="C129" s="93"/>
      <c r="D129" s="93"/>
      <c r="E129" s="645" t="b">
        <f>OR((LEFT('RFPR cover'!$C$8,2)=Data!G129),'RFPR cover'!$C$7=Data!G129)</f>
        <v>0</v>
      </c>
      <c r="F129" s="646">
        <f>IF(E129,1,0)</f>
        <v>0</v>
      </c>
      <c r="G129" s="647" t="s">
        <v>45</v>
      </c>
    </row>
    <row r="130" spans="1:7">
      <c r="A130" s="91"/>
      <c r="B130" s="252" t="str">
        <f>IF(SUM($F$123:$F$129)=0,"",CHOOSE(MATCH(TRUE,$E$123:$E$129,0),B139,B149,B159,B169,B179,E179)&amp;"")</f>
        <v/>
      </c>
      <c r="C130" s="93"/>
      <c r="D130" s="93"/>
    </row>
    <row r="131" spans="1:7">
      <c r="A131" s="91"/>
      <c r="B131" s="93"/>
      <c r="C131" s="93"/>
      <c r="D131" s="93"/>
      <c r="E131" s="32"/>
      <c r="F131" s="250"/>
    </row>
    <row r="132" spans="1:7">
      <c r="A132" s="91"/>
      <c r="B132" s="831" t="s">
        <v>19</v>
      </c>
      <c r="C132" s="832"/>
      <c r="D132" s="93"/>
      <c r="E132" s="93"/>
    </row>
    <row r="133" spans="1:7">
      <c r="A133" s="91"/>
      <c r="B133" s="835" t="s">
        <v>91</v>
      </c>
      <c r="C133" s="836"/>
      <c r="D133" s="93"/>
      <c r="E133" s="93"/>
    </row>
    <row r="134" spans="1:7">
      <c r="A134" s="91"/>
      <c r="B134" s="833" t="s">
        <v>92</v>
      </c>
      <c r="C134" s="834"/>
      <c r="D134" s="93"/>
      <c r="E134" s="93"/>
    </row>
    <row r="135" spans="1:7">
      <c r="A135" s="91"/>
      <c r="B135" s="833" t="s">
        <v>93</v>
      </c>
      <c r="C135" s="834"/>
      <c r="D135" s="93"/>
      <c r="E135" s="93"/>
    </row>
    <row r="136" spans="1:7">
      <c r="A136" s="91"/>
      <c r="B136" s="833" t="s">
        <v>94</v>
      </c>
      <c r="C136" s="834"/>
      <c r="D136" s="93"/>
      <c r="E136" s="93"/>
    </row>
    <row r="137" spans="1:7">
      <c r="A137" s="91"/>
      <c r="B137" s="833" t="s">
        <v>95</v>
      </c>
      <c r="C137" s="834"/>
      <c r="D137" s="93"/>
      <c r="E137" s="93"/>
    </row>
    <row r="138" spans="1:7">
      <c r="A138" s="91"/>
      <c r="B138" s="833"/>
      <c r="C138" s="834"/>
      <c r="D138" s="93"/>
      <c r="E138" s="93"/>
    </row>
    <row r="139" spans="1:7">
      <c r="A139" s="91"/>
      <c r="B139" s="837"/>
      <c r="C139" s="838"/>
      <c r="D139" s="93"/>
      <c r="E139" s="93"/>
    </row>
    <row r="140" spans="1:7">
      <c r="A140" s="91"/>
      <c r="B140" s="93"/>
      <c r="C140" s="93"/>
      <c r="D140" s="93"/>
      <c r="E140" s="93"/>
    </row>
    <row r="141" spans="1:7">
      <c r="A141" s="91"/>
      <c r="B141" s="93"/>
      <c r="C141" s="93"/>
      <c r="D141" s="93"/>
      <c r="E141" s="93"/>
    </row>
    <row r="142" spans="1:7">
      <c r="A142" s="91"/>
      <c r="B142" s="831" t="s">
        <v>25</v>
      </c>
      <c r="C142" s="832"/>
      <c r="D142" s="93"/>
      <c r="E142" s="93"/>
    </row>
    <row r="143" spans="1:7">
      <c r="A143" s="91"/>
      <c r="B143" s="835" t="s">
        <v>96</v>
      </c>
      <c r="C143" s="836"/>
      <c r="E143" s="93"/>
    </row>
    <row r="144" spans="1:7">
      <c r="A144" s="91"/>
      <c r="B144" s="833" t="s">
        <v>97</v>
      </c>
      <c r="C144" s="834"/>
      <c r="D144" s="93"/>
      <c r="E144" s="93"/>
    </row>
    <row r="145" spans="1:9" ht="25.5" customHeight="1">
      <c r="A145" s="91"/>
      <c r="B145" s="833" t="s">
        <v>98</v>
      </c>
      <c r="C145" s="834"/>
      <c r="D145" s="93"/>
      <c r="E145" s="93"/>
    </row>
    <row r="146" spans="1:9" ht="25.5" customHeight="1">
      <c r="A146" s="91"/>
      <c r="B146" s="833" t="s">
        <v>99</v>
      </c>
      <c r="C146" s="834"/>
      <c r="D146" s="93"/>
      <c r="E146" s="93"/>
    </row>
    <row r="147" spans="1:9" ht="14.25" customHeight="1">
      <c r="A147" s="91"/>
      <c r="B147" s="833" t="s">
        <v>100</v>
      </c>
      <c r="C147" s="834"/>
      <c r="D147" s="93"/>
      <c r="E147" s="93"/>
    </row>
    <row r="148" spans="1:9" ht="25.5" customHeight="1">
      <c r="A148" s="91"/>
      <c r="B148" s="833" t="s">
        <v>101</v>
      </c>
      <c r="C148" s="834"/>
      <c r="D148" s="93"/>
      <c r="E148" s="93"/>
    </row>
    <row r="149" spans="1:9">
      <c r="A149" s="91"/>
      <c r="B149" s="837"/>
      <c r="C149" s="838"/>
      <c r="D149" s="93"/>
      <c r="E149" s="93"/>
    </row>
    <row r="150" spans="1:9">
      <c r="A150" s="91"/>
      <c r="B150" s="93"/>
      <c r="C150" s="93"/>
      <c r="D150" s="93"/>
      <c r="E150" s="93"/>
    </row>
    <row r="151" spans="1:9">
      <c r="A151" s="91"/>
      <c r="B151" s="93"/>
      <c r="C151" s="93"/>
      <c r="D151" s="93"/>
      <c r="E151" s="93"/>
    </row>
    <row r="152" spans="1:9">
      <c r="A152" s="91"/>
      <c r="B152" s="821" t="s">
        <v>83</v>
      </c>
      <c r="C152" s="822"/>
      <c r="D152" s="93"/>
      <c r="E152" s="345"/>
      <c r="F152" s="38"/>
      <c r="G152" s="38"/>
      <c r="H152" s="38"/>
      <c r="I152" s="38"/>
    </row>
    <row r="153" spans="1:9">
      <c r="A153" s="91"/>
      <c r="B153" s="835" t="s">
        <v>102</v>
      </c>
      <c r="C153" s="836"/>
      <c r="E153" s="246"/>
      <c r="F153" s="246"/>
      <c r="G153" s="246"/>
      <c r="H153" s="246"/>
      <c r="I153" s="246"/>
    </row>
    <row r="154" spans="1:9">
      <c r="A154" s="91"/>
      <c r="B154" s="833" t="s">
        <v>103</v>
      </c>
      <c r="C154" s="834"/>
      <c r="E154" s="246"/>
      <c r="F154" s="246"/>
      <c r="G154" s="246"/>
      <c r="H154" s="246"/>
      <c r="I154" s="246"/>
    </row>
    <row r="155" spans="1:9">
      <c r="A155" s="91"/>
      <c r="B155" s="833"/>
      <c r="C155" s="834"/>
      <c r="D155" s="93"/>
      <c r="E155" s="246"/>
      <c r="F155" s="246"/>
      <c r="G155" s="246"/>
      <c r="H155" s="246"/>
      <c r="I155" s="246"/>
    </row>
    <row r="156" spans="1:9">
      <c r="A156" s="91"/>
      <c r="B156" s="833"/>
      <c r="C156" s="834"/>
      <c r="D156" s="93"/>
      <c r="E156" s="246"/>
      <c r="F156" s="246"/>
      <c r="G156" s="246"/>
      <c r="H156" s="246"/>
      <c r="I156" s="246"/>
    </row>
    <row r="157" spans="1:9">
      <c r="A157" s="91"/>
      <c r="B157" s="833"/>
      <c r="C157" s="834"/>
      <c r="D157" s="93"/>
      <c r="E157" s="246"/>
      <c r="F157" s="246"/>
      <c r="G157" s="246"/>
      <c r="H157" s="246"/>
      <c r="I157" s="246"/>
    </row>
    <row r="158" spans="1:9">
      <c r="A158" s="91"/>
      <c r="B158" s="833"/>
      <c r="C158" s="834"/>
      <c r="D158" s="93"/>
      <c r="E158" s="246"/>
      <c r="F158" s="246"/>
      <c r="G158" s="246"/>
      <c r="H158" s="246"/>
      <c r="I158" s="246"/>
    </row>
    <row r="159" spans="1:9" ht="12" customHeight="1">
      <c r="A159" s="91"/>
      <c r="B159" s="837"/>
      <c r="C159" s="838"/>
      <c r="D159" s="93"/>
      <c r="E159" s="246"/>
      <c r="F159" s="246"/>
      <c r="G159" s="246"/>
      <c r="H159" s="246"/>
      <c r="I159" s="246"/>
    </row>
    <row r="160" spans="1:9">
      <c r="A160" s="91"/>
      <c r="B160" s="93"/>
      <c r="C160" s="93"/>
      <c r="D160" s="93"/>
      <c r="E160" s="93"/>
    </row>
    <row r="161" spans="1:9">
      <c r="A161" s="91"/>
      <c r="B161" s="93"/>
      <c r="C161" s="93"/>
      <c r="D161" s="93"/>
      <c r="E161" s="93"/>
    </row>
    <row r="162" spans="1:9">
      <c r="A162" s="91"/>
      <c r="B162" s="821" t="s">
        <v>86</v>
      </c>
      <c r="C162" s="822"/>
      <c r="D162" s="93"/>
      <c r="E162" s="821" t="s">
        <v>28</v>
      </c>
      <c r="F162" s="821"/>
      <c r="G162" s="821"/>
      <c r="H162" s="822"/>
      <c r="I162" s="38"/>
    </row>
    <row r="163" spans="1:9" ht="13.5" customHeight="1">
      <c r="A163" s="91"/>
      <c r="B163" s="835" t="s">
        <v>104</v>
      </c>
      <c r="C163" s="836"/>
      <c r="E163" s="831" t="s">
        <v>105</v>
      </c>
      <c r="F163" s="840"/>
      <c r="G163" s="840"/>
      <c r="H163" s="841"/>
      <c r="I163" s="246"/>
    </row>
    <row r="164" spans="1:9" ht="12.75" customHeight="1">
      <c r="A164" s="91"/>
      <c r="B164" s="833" t="s">
        <v>106</v>
      </c>
      <c r="C164" s="834"/>
      <c r="E164" s="842"/>
      <c r="F164" s="842"/>
      <c r="G164" s="842"/>
      <c r="H164" s="843"/>
      <c r="I164" s="246"/>
    </row>
    <row r="165" spans="1:9" ht="13.5" customHeight="1">
      <c r="A165" s="91"/>
      <c r="B165" s="833" t="s">
        <v>107</v>
      </c>
      <c r="C165" s="834"/>
      <c r="E165" s="806"/>
      <c r="F165" s="806"/>
      <c r="G165" s="806"/>
      <c r="H165" s="807"/>
      <c r="I165" s="246"/>
    </row>
    <row r="166" spans="1:9" ht="12.75" customHeight="1">
      <c r="A166" s="91"/>
      <c r="B166" s="833" t="s">
        <v>108</v>
      </c>
      <c r="C166" s="834"/>
      <c r="E166" s="806"/>
      <c r="F166" s="806"/>
      <c r="G166" s="806"/>
      <c r="H166" s="807"/>
      <c r="I166" s="246"/>
    </row>
    <row r="167" spans="1:9" ht="13.5" customHeight="1">
      <c r="A167" s="91"/>
      <c r="B167" s="833" t="s">
        <v>109</v>
      </c>
      <c r="C167" s="834"/>
      <c r="E167" s="806"/>
      <c r="F167" s="806"/>
      <c r="G167" s="806"/>
      <c r="H167" s="807"/>
      <c r="I167" s="246"/>
    </row>
    <row r="168" spans="1:9" ht="13.5" customHeight="1">
      <c r="A168" s="91"/>
      <c r="B168" s="833" t="s">
        <v>110</v>
      </c>
      <c r="C168" s="834"/>
      <c r="E168" s="806"/>
      <c r="F168" s="806"/>
      <c r="G168" s="806"/>
      <c r="H168" s="807"/>
      <c r="I168" s="246"/>
    </row>
    <row r="169" spans="1:9">
      <c r="A169" s="91"/>
      <c r="B169" s="837"/>
      <c r="C169" s="838"/>
      <c r="D169" s="93"/>
      <c r="E169" s="839"/>
      <c r="F169" s="839"/>
      <c r="G169" s="246"/>
      <c r="H169" s="246"/>
      <c r="I169" s="246"/>
    </row>
    <row r="170" spans="1:9" ht="12.75" customHeight="1">
      <c r="A170" s="91"/>
      <c r="B170" s="91"/>
      <c r="C170" s="91"/>
      <c r="D170" s="93"/>
      <c r="E170" s="246"/>
      <c r="F170" s="246"/>
      <c r="G170" s="246"/>
      <c r="H170" s="246"/>
      <c r="I170" s="246"/>
    </row>
    <row r="171" spans="1:9" ht="12.75" customHeight="1">
      <c r="A171" s="91"/>
      <c r="B171" s="91"/>
      <c r="C171" s="91"/>
      <c r="D171" s="93"/>
      <c r="E171" s="246"/>
      <c r="F171" s="246"/>
      <c r="G171" s="246"/>
      <c r="H171" s="246"/>
      <c r="I171" s="246"/>
    </row>
    <row r="172" spans="1:9" ht="12.75" customHeight="1">
      <c r="A172" s="91"/>
      <c r="B172" s="821" t="s">
        <v>87</v>
      </c>
      <c r="C172" s="822"/>
      <c r="D172" s="93"/>
      <c r="E172" s="821" t="s">
        <v>45</v>
      </c>
      <c r="F172" s="821"/>
      <c r="G172" s="821"/>
      <c r="H172" s="822"/>
      <c r="I172" s="348"/>
    </row>
    <row r="173" spans="1:9" ht="12.75" customHeight="1">
      <c r="A173" s="91"/>
      <c r="B173" s="819" t="s">
        <v>104</v>
      </c>
      <c r="C173" s="820"/>
      <c r="E173" s="806" t="s">
        <v>104</v>
      </c>
      <c r="F173" s="806"/>
      <c r="G173" s="806"/>
      <c r="H173" s="807"/>
      <c r="I173" s="246"/>
    </row>
    <row r="174" spans="1:9" ht="12.75" customHeight="1">
      <c r="A174" s="91"/>
      <c r="B174" s="806" t="s">
        <v>106</v>
      </c>
      <c r="C174" s="807"/>
      <c r="E174" s="806" t="s">
        <v>106</v>
      </c>
      <c r="F174" s="806"/>
      <c r="G174" s="806"/>
      <c r="H174" s="807"/>
      <c r="I174" s="246"/>
    </row>
    <row r="175" spans="1:9" ht="12.75" customHeight="1">
      <c r="A175" s="91"/>
      <c r="B175" s="806" t="s">
        <v>107</v>
      </c>
      <c r="C175" s="807"/>
      <c r="E175" s="806" t="s">
        <v>107</v>
      </c>
      <c r="F175" s="806"/>
      <c r="G175" s="806"/>
      <c r="H175" s="807"/>
      <c r="I175" s="246"/>
    </row>
    <row r="176" spans="1:9" ht="12.75" customHeight="1">
      <c r="A176" s="91"/>
      <c r="B176" s="806" t="s">
        <v>108</v>
      </c>
      <c r="C176" s="807"/>
      <c r="E176" s="806" t="s">
        <v>108</v>
      </c>
      <c r="F176" s="806"/>
      <c r="G176" s="806"/>
      <c r="H176" s="807"/>
      <c r="I176" s="246"/>
    </row>
    <row r="177" spans="1:13" ht="12.75" customHeight="1">
      <c r="A177" s="91"/>
      <c r="B177" s="806" t="s">
        <v>109</v>
      </c>
      <c r="C177" s="807"/>
      <c r="E177" s="806" t="s">
        <v>109</v>
      </c>
      <c r="F177" s="806"/>
      <c r="G177" s="806"/>
      <c r="H177" s="807"/>
      <c r="I177" s="246"/>
    </row>
    <row r="178" spans="1:13" ht="12.75" customHeight="1">
      <c r="A178" s="91"/>
      <c r="B178" s="806" t="s">
        <v>110</v>
      </c>
      <c r="C178" s="807"/>
      <c r="E178" s="806" t="s">
        <v>110</v>
      </c>
      <c r="F178" s="806"/>
      <c r="G178" s="806"/>
      <c r="H178" s="807"/>
      <c r="I178" s="246"/>
    </row>
    <row r="179" spans="1:13">
      <c r="A179" s="91"/>
      <c r="B179" s="808"/>
      <c r="C179" s="809"/>
      <c r="D179" s="93"/>
      <c r="E179" s="808"/>
      <c r="F179" s="808"/>
      <c r="G179" s="808"/>
      <c r="H179" s="809"/>
      <c r="I179" s="246"/>
    </row>
    <row r="180" spans="1:13" ht="12.4" customHeight="1">
      <c r="A180" s="91"/>
      <c r="D180" s="93"/>
      <c r="E180" s="93"/>
    </row>
    <row r="181" spans="1:13" ht="12.4" customHeight="1">
      <c r="A181" s="91"/>
      <c r="B181" s="169" t="s">
        <v>111</v>
      </c>
      <c r="C181" s="170"/>
      <c r="D181" s="170"/>
      <c r="E181" s="170"/>
      <c r="F181" s="168"/>
      <c r="G181" s="168"/>
      <c r="H181" s="168"/>
      <c r="I181" s="168"/>
      <c r="J181" s="168"/>
      <c r="K181" s="168"/>
      <c r="L181" s="168"/>
      <c r="M181" s="168"/>
    </row>
    <row r="182" spans="1:13" ht="12.4" customHeight="1">
      <c r="A182" s="91"/>
      <c r="B182" s="247"/>
      <c r="C182" s="248"/>
      <c r="D182" s="248"/>
      <c r="E182" s="248"/>
      <c r="F182" s="249"/>
      <c r="G182" s="249"/>
      <c r="H182" s="249"/>
      <c r="I182" s="249"/>
    </row>
    <row r="183" spans="1:13" ht="12.4" customHeight="1">
      <c r="A183" s="91"/>
      <c r="B183" s="572" t="s">
        <v>112</v>
      </c>
      <c r="C183" s="93"/>
      <c r="D183" s="93"/>
      <c r="E183" s="779" t="b">
        <f>OR((LEFT('RFPR cover'!$C$8,2)=Data!F183),'RFPR cover'!$C$7=Data!F183)</f>
        <v>0</v>
      </c>
      <c r="F183" s="780" t="str">
        <f>B194</f>
        <v>ED</v>
      </c>
    </row>
    <row r="184" spans="1:13" ht="19.5" customHeight="1">
      <c r="A184" s="91"/>
      <c r="B184" s="252" t="str">
        <f>CHOOSE(MATCH(TRUE,$E$183:$E$191,0),B195,B206,B217,E217,B228,E228,B239,E239,B250)&amp;""</f>
        <v xml:space="preserve">RIIO-2 network innovation allowance </v>
      </c>
      <c r="C184" s="93"/>
      <c r="D184" s="93"/>
      <c r="E184" s="641" t="b">
        <f>OR((LEFT('RFPR cover'!$C$8,2)=Data!F184),'RFPR cover'!$C$7=Data!F184)</f>
        <v>1</v>
      </c>
      <c r="F184" s="643" t="str">
        <f>B205</f>
        <v>GD</v>
      </c>
    </row>
    <row r="185" spans="1:13" ht="22.5" customHeight="1">
      <c r="A185" s="91"/>
      <c r="B185" s="252" t="str">
        <f t="shared" ref="B185:B191" si="23">CHOOSE(MATCH(TRUE,$E$183:$E$191,0),B196,B207,B218,E218,B229,E229,B240,E240,B251)&amp;""</f>
        <v xml:space="preserve">Carry-over Network Innovation Allowance </v>
      </c>
      <c r="C185" s="93"/>
      <c r="D185" s="93"/>
      <c r="E185" s="641" t="b">
        <f>OR((LEFT('RFPR cover'!$C$8,2)=Data!F185),'RFPR cover'!$C$7=Data!F185)</f>
        <v>0</v>
      </c>
      <c r="F185" s="644" t="str">
        <f>B216</f>
        <v>NGGT (TO)</v>
      </c>
    </row>
    <row r="186" spans="1:13" ht="19.5" customHeight="1">
      <c r="A186" s="91"/>
      <c r="B186" s="252" t="str">
        <f t="shared" si="23"/>
        <v/>
      </c>
      <c r="C186" s="93"/>
      <c r="D186" s="93"/>
      <c r="E186" s="641" t="b">
        <f>OR((LEFT('RFPR cover'!$C$8,2)=Data!F186),'RFPR cover'!$C$7=Data!F186)</f>
        <v>0</v>
      </c>
      <c r="F186" s="644" t="str">
        <f>E216</f>
        <v>NGGT (SO)</v>
      </c>
    </row>
    <row r="187" spans="1:13" ht="19.5" customHeight="1">
      <c r="A187" s="91"/>
      <c r="B187" s="252" t="str">
        <f t="shared" si="23"/>
        <v/>
      </c>
      <c r="C187" s="93"/>
      <c r="D187" s="93"/>
      <c r="E187" s="641" t="b">
        <f>OR((LEFT('RFPR cover'!$C$8,2)=Data!F187),'RFPR cover'!$C$7=Data!F187)</f>
        <v>0</v>
      </c>
      <c r="F187" s="644" t="str">
        <f>B227</f>
        <v>NGGT (TO+SO)</v>
      </c>
    </row>
    <row r="188" spans="1:13" ht="19.5" customHeight="1">
      <c r="A188" s="91"/>
      <c r="B188" s="252" t="str">
        <f t="shared" si="23"/>
        <v/>
      </c>
      <c r="C188" s="93"/>
      <c r="D188" s="93"/>
      <c r="E188" s="641" t="b">
        <f>OR((LEFT('RFPR cover'!$C$8,2)=Data!F188),'RFPR cover'!$C$7=Data!F188)</f>
        <v>0</v>
      </c>
      <c r="F188" s="644" t="str">
        <f>E227</f>
        <v>NGET (TO)</v>
      </c>
    </row>
    <row r="189" spans="1:13" ht="19.5" customHeight="1">
      <c r="A189" s="91"/>
      <c r="B189" s="252" t="str">
        <f t="shared" si="23"/>
        <v/>
      </c>
      <c r="C189" s="93"/>
      <c r="D189" s="93"/>
      <c r="E189" s="641" t="b">
        <f>OR((LEFT('RFPR cover'!$C$8,2)=Data!F189),'RFPR cover'!$C$7=Data!F189)</f>
        <v>0</v>
      </c>
      <c r="F189" s="644" t="str">
        <f>B238</f>
        <v>ESO</v>
      </c>
    </row>
    <row r="190" spans="1:13" ht="19.5" customHeight="1">
      <c r="A190" s="91"/>
      <c r="B190" s="252" t="str">
        <f t="shared" si="23"/>
        <v/>
      </c>
      <c r="C190" s="93"/>
      <c r="D190" s="93"/>
      <c r="E190" s="641" t="b">
        <f>OR((LEFT('RFPR cover'!$C$8,2)=Data!F190),'RFPR cover'!$C$7=Data!F190)</f>
        <v>0</v>
      </c>
      <c r="F190" s="644" t="str">
        <f>E238</f>
        <v>SPT</v>
      </c>
    </row>
    <row r="191" spans="1:13" ht="19.5" customHeight="1">
      <c r="A191" s="91"/>
      <c r="B191" s="252" t="str">
        <f t="shared" si="23"/>
        <v/>
      </c>
      <c r="C191" s="93"/>
      <c r="D191" s="93"/>
      <c r="E191" s="645" t="b">
        <f>OR((LEFT('RFPR cover'!$C$8,2)=Data!F191),'RFPR cover'!$C$7=Data!F191)</f>
        <v>0</v>
      </c>
      <c r="F191" s="647" t="str">
        <f>B249</f>
        <v>SHET</v>
      </c>
      <c r="G191" s="93"/>
      <c r="H191" s="93"/>
      <c r="I191" s="93"/>
    </row>
    <row r="192" spans="1:13" ht="12.75" customHeight="1">
      <c r="A192" s="91"/>
      <c r="B192" s="93"/>
      <c r="C192" s="93"/>
      <c r="D192" s="93"/>
      <c r="E192" s="32"/>
      <c r="F192" s="250"/>
    </row>
    <row r="193" spans="1:6" ht="12.75" customHeight="1">
      <c r="A193" s="91"/>
      <c r="B193" s="346"/>
      <c r="C193" s="346"/>
      <c r="D193" s="93"/>
      <c r="E193" s="32"/>
      <c r="F193" s="250"/>
    </row>
    <row r="194" spans="1:6" ht="12.75" customHeight="1">
      <c r="A194" s="91"/>
      <c r="B194" s="829" t="s">
        <v>19</v>
      </c>
      <c r="C194" s="830"/>
      <c r="D194" s="93"/>
      <c r="E194" s="93"/>
    </row>
    <row r="195" spans="1:6" ht="12.75" customHeight="1">
      <c r="A195" s="91"/>
      <c r="B195" s="819"/>
      <c r="C195" s="820"/>
      <c r="D195" s="93"/>
      <c r="E195" s="93"/>
    </row>
    <row r="196" spans="1:6" ht="12.75" customHeight="1">
      <c r="A196" s="91"/>
      <c r="B196" s="806"/>
      <c r="C196" s="807"/>
      <c r="D196" s="93"/>
      <c r="E196" s="93"/>
    </row>
    <row r="197" spans="1:6" ht="12.75" customHeight="1">
      <c r="A197" s="91"/>
      <c r="B197" s="806"/>
      <c r="C197" s="807"/>
      <c r="D197" s="93"/>
      <c r="E197" s="93"/>
    </row>
    <row r="198" spans="1:6" ht="12.75" customHeight="1">
      <c r="A198" s="91"/>
      <c r="B198" s="806"/>
      <c r="C198" s="807"/>
      <c r="D198" s="93"/>
      <c r="E198" s="93"/>
    </row>
    <row r="199" spans="1:6" ht="12.75" customHeight="1">
      <c r="A199" s="91"/>
      <c r="B199" s="806"/>
      <c r="C199" s="807"/>
      <c r="D199" s="93"/>
      <c r="E199" s="93"/>
    </row>
    <row r="200" spans="1:6" ht="12.75" customHeight="1">
      <c r="A200" s="91"/>
      <c r="B200" s="806"/>
      <c r="C200" s="807"/>
      <c r="D200" s="93"/>
      <c r="E200" s="93"/>
    </row>
    <row r="201" spans="1:6">
      <c r="A201" s="91"/>
      <c r="B201" s="806"/>
      <c r="C201" s="807"/>
      <c r="D201" s="93"/>
      <c r="E201" s="93"/>
    </row>
    <row r="202" spans="1:6" ht="12.75" customHeight="1">
      <c r="A202" s="91"/>
      <c r="B202" s="808"/>
      <c r="C202" s="809"/>
      <c r="D202" s="93"/>
      <c r="E202" s="93"/>
    </row>
    <row r="203" spans="1:6" ht="12.75" customHeight="1">
      <c r="A203" s="91"/>
      <c r="B203" s="93"/>
      <c r="C203" s="93"/>
      <c r="D203" s="93"/>
      <c r="E203" s="93"/>
    </row>
    <row r="204" spans="1:6" ht="12.75" customHeight="1">
      <c r="A204" s="91"/>
      <c r="B204" s="93"/>
      <c r="C204" s="93"/>
      <c r="D204" s="93"/>
      <c r="E204" s="93"/>
    </row>
    <row r="205" spans="1:6" ht="12.75" customHeight="1">
      <c r="A205" s="91"/>
      <c r="B205" s="831" t="s">
        <v>25</v>
      </c>
      <c r="C205" s="832"/>
      <c r="D205" s="93"/>
      <c r="E205" s="93"/>
    </row>
    <row r="206" spans="1:6" ht="12.75" customHeight="1">
      <c r="A206" s="91"/>
      <c r="B206" s="819" t="s">
        <v>113</v>
      </c>
      <c r="C206" s="820"/>
      <c r="E206" s="93"/>
    </row>
    <row r="207" spans="1:6" ht="12.75" customHeight="1">
      <c r="A207" s="91"/>
      <c r="B207" s="806" t="s">
        <v>114</v>
      </c>
      <c r="C207" s="807"/>
      <c r="D207" s="93"/>
      <c r="E207" s="93"/>
    </row>
    <row r="208" spans="1:6" ht="12.75" customHeight="1">
      <c r="A208" s="91"/>
      <c r="B208" s="806"/>
      <c r="C208" s="807"/>
      <c r="D208" s="93"/>
      <c r="E208" s="93"/>
    </row>
    <row r="209" spans="1:9" ht="12.75" customHeight="1">
      <c r="A209" s="91"/>
      <c r="B209" s="806"/>
      <c r="C209" s="807"/>
      <c r="D209" s="93"/>
      <c r="E209" s="93"/>
    </row>
    <row r="210" spans="1:9">
      <c r="A210" s="91"/>
      <c r="B210" s="806"/>
      <c r="C210" s="807"/>
      <c r="D210" s="93"/>
      <c r="E210" s="93"/>
    </row>
    <row r="211" spans="1:9">
      <c r="A211" s="91"/>
      <c r="B211" s="806"/>
      <c r="C211" s="807"/>
      <c r="D211" s="93"/>
      <c r="E211" s="93"/>
    </row>
    <row r="212" spans="1:9" ht="12.75" customHeight="1">
      <c r="A212" s="91"/>
      <c r="B212" s="806"/>
      <c r="C212" s="807"/>
      <c r="D212" s="93"/>
      <c r="E212" s="93"/>
    </row>
    <row r="213" spans="1:9">
      <c r="A213" s="91"/>
      <c r="B213" s="808"/>
      <c r="C213" s="809"/>
      <c r="D213" s="93"/>
      <c r="E213" s="93"/>
    </row>
    <row r="214" spans="1:9">
      <c r="A214" s="91"/>
      <c r="B214" s="93"/>
      <c r="C214" s="93"/>
      <c r="D214" s="93"/>
      <c r="E214" s="93"/>
    </row>
    <row r="215" spans="1:9">
      <c r="A215" s="91"/>
      <c r="B215" s="93"/>
      <c r="C215" s="93"/>
      <c r="D215" s="93"/>
      <c r="E215" s="93"/>
    </row>
    <row r="216" spans="1:9">
      <c r="A216" s="91"/>
      <c r="B216" s="465" t="str">
        <f>B77</f>
        <v>NGGT (TO)</v>
      </c>
      <c r="C216" s="423"/>
      <c r="D216" s="93"/>
      <c r="E216" s="821" t="str">
        <f>B78</f>
        <v>NGGT (SO)</v>
      </c>
      <c r="F216" s="821"/>
      <c r="G216" s="821"/>
      <c r="H216" s="821"/>
      <c r="I216" s="822"/>
    </row>
    <row r="217" spans="1:9">
      <c r="A217" s="91"/>
      <c r="B217" s="819" t="s">
        <v>115</v>
      </c>
      <c r="C217" s="820"/>
      <c r="E217" s="823"/>
      <c r="F217" s="824"/>
      <c r="G217" s="824"/>
      <c r="H217" s="824"/>
      <c r="I217" s="825"/>
    </row>
    <row r="218" spans="1:9" ht="25.5" customHeight="1">
      <c r="A218" s="91"/>
      <c r="B218" s="806" t="s">
        <v>116</v>
      </c>
      <c r="C218" s="807"/>
      <c r="E218" s="823"/>
      <c r="F218" s="824"/>
      <c r="G218" s="824"/>
      <c r="H218" s="824"/>
      <c r="I218" s="825"/>
    </row>
    <row r="219" spans="1:9" ht="13.5" customHeight="1">
      <c r="A219" s="91"/>
      <c r="B219" s="806" t="s">
        <v>117</v>
      </c>
      <c r="C219" s="807"/>
      <c r="D219" s="93"/>
      <c r="E219" s="823"/>
      <c r="F219" s="824"/>
      <c r="G219" s="824"/>
      <c r="H219" s="824"/>
      <c r="I219" s="825"/>
    </row>
    <row r="220" spans="1:9" ht="13.5" customHeight="1">
      <c r="A220" s="91"/>
      <c r="B220" s="806"/>
      <c r="C220" s="807"/>
      <c r="D220" s="93"/>
      <c r="E220" s="810" t="s">
        <v>118</v>
      </c>
      <c r="F220" s="811"/>
      <c r="G220" s="811"/>
      <c r="H220" s="811"/>
      <c r="I220" s="812"/>
    </row>
    <row r="221" spans="1:9" ht="13.5" customHeight="1">
      <c r="A221" s="91"/>
      <c r="B221" s="466"/>
      <c r="C221" s="424"/>
      <c r="D221" s="93"/>
      <c r="E221" s="810" t="s">
        <v>119</v>
      </c>
      <c r="F221" s="811"/>
      <c r="G221" s="811"/>
      <c r="H221" s="811"/>
      <c r="I221" s="812"/>
    </row>
    <row r="222" spans="1:9" ht="13.5" customHeight="1">
      <c r="A222" s="91"/>
      <c r="B222" s="806"/>
      <c r="C222" s="807"/>
      <c r="D222" s="93"/>
      <c r="E222" s="810" t="s">
        <v>120</v>
      </c>
      <c r="F222" s="811"/>
      <c r="G222" s="811"/>
      <c r="H222" s="811"/>
      <c r="I222" s="812"/>
    </row>
    <row r="223" spans="1:9" ht="13.5" customHeight="1">
      <c r="A223" s="91"/>
      <c r="B223" s="806"/>
      <c r="C223" s="807"/>
      <c r="D223" s="93"/>
      <c r="E223" s="813" t="s">
        <v>121</v>
      </c>
      <c r="F223" s="814"/>
      <c r="G223" s="814"/>
      <c r="H223" s="814"/>
      <c r="I223" s="815"/>
    </row>
    <row r="224" spans="1:9" ht="12.75" customHeight="1">
      <c r="A224" s="91"/>
      <c r="B224" s="808"/>
      <c r="C224" s="809"/>
      <c r="D224" s="93"/>
      <c r="E224" s="816" t="s">
        <v>122</v>
      </c>
      <c r="F224" s="817"/>
      <c r="G224" s="817"/>
      <c r="H224" s="817"/>
      <c r="I224" s="818"/>
    </row>
    <row r="225" spans="1:9">
      <c r="A225" s="91"/>
      <c r="B225" s="93"/>
      <c r="C225" s="93"/>
      <c r="D225" s="93"/>
      <c r="E225" s="93"/>
    </row>
    <row r="226" spans="1:9" ht="12.75" customHeight="1">
      <c r="A226" s="91"/>
      <c r="B226" s="93"/>
      <c r="C226" s="93"/>
      <c r="D226" s="93"/>
      <c r="E226" s="93"/>
    </row>
    <row r="227" spans="1:9">
      <c r="A227" s="91"/>
      <c r="B227" s="821" t="s">
        <v>85</v>
      </c>
      <c r="C227" s="822"/>
      <c r="D227" s="93"/>
      <c r="E227" s="821" t="s">
        <v>86</v>
      </c>
      <c r="F227" s="821"/>
      <c r="G227" s="821"/>
      <c r="H227" s="821"/>
      <c r="I227" s="822"/>
    </row>
    <row r="228" spans="1:9" ht="12.75" customHeight="1">
      <c r="A228" s="91"/>
      <c r="B228" s="819" t="s">
        <v>115</v>
      </c>
      <c r="C228" s="820"/>
      <c r="E228" s="819" t="s">
        <v>115</v>
      </c>
      <c r="F228" s="819"/>
      <c r="G228" s="819"/>
      <c r="H228" s="819"/>
      <c r="I228" s="820"/>
    </row>
    <row r="229" spans="1:9" ht="12.75" customHeight="1">
      <c r="A229" s="91"/>
      <c r="B229" s="806" t="s">
        <v>116</v>
      </c>
      <c r="C229" s="807"/>
      <c r="E229" s="806" t="s">
        <v>116</v>
      </c>
      <c r="F229" s="806"/>
      <c r="G229" s="806"/>
      <c r="H229" s="806"/>
      <c r="I229" s="807"/>
    </row>
    <row r="230" spans="1:9" ht="12.75" customHeight="1">
      <c r="A230" s="91"/>
      <c r="B230" s="806" t="s">
        <v>117</v>
      </c>
      <c r="C230" s="807"/>
      <c r="E230" s="806" t="s">
        <v>117</v>
      </c>
      <c r="F230" s="806"/>
      <c r="G230" s="806"/>
      <c r="H230" s="806"/>
      <c r="I230" s="807"/>
    </row>
    <row r="231" spans="1:9" ht="24" customHeight="1">
      <c r="A231" s="91"/>
      <c r="B231" s="806" t="s">
        <v>118</v>
      </c>
      <c r="C231" s="807"/>
      <c r="E231" s="806"/>
      <c r="F231" s="806"/>
      <c r="G231" s="806"/>
      <c r="H231" s="806"/>
      <c r="I231" s="807"/>
    </row>
    <row r="232" spans="1:9">
      <c r="A232" s="91"/>
      <c r="B232" s="806" t="s">
        <v>119</v>
      </c>
      <c r="C232" s="807"/>
      <c r="E232" s="806"/>
      <c r="F232" s="806"/>
      <c r="G232" s="806"/>
      <c r="H232" s="806"/>
      <c r="I232" s="807"/>
    </row>
    <row r="233" spans="1:9">
      <c r="A233" s="91"/>
      <c r="B233" s="806" t="s">
        <v>120</v>
      </c>
      <c r="C233" s="807"/>
      <c r="E233" s="806"/>
      <c r="F233" s="806"/>
      <c r="G233" s="806"/>
      <c r="H233" s="806"/>
      <c r="I233" s="807"/>
    </row>
    <row r="234" spans="1:9" ht="12.75" customHeight="1">
      <c r="A234" s="91"/>
      <c r="B234" s="806" t="s">
        <v>121</v>
      </c>
      <c r="C234" s="807"/>
      <c r="E234" s="806"/>
      <c r="F234" s="806"/>
      <c r="G234" s="806"/>
      <c r="H234" s="806"/>
      <c r="I234" s="807"/>
    </row>
    <row r="235" spans="1:9" ht="12.75" customHeight="1">
      <c r="A235" s="91"/>
      <c r="B235" s="808" t="s">
        <v>122</v>
      </c>
      <c r="C235" s="809"/>
      <c r="D235" s="93"/>
      <c r="E235" s="808"/>
      <c r="F235" s="808"/>
      <c r="G235" s="808"/>
      <c r="H235" s="808"/>
      <c r="I235" s="809"/>
    </row>
    <row r="236" spans="1:9" ht="12.75" customHeight="1">
      <c r="A236" s="91"/>
      <c r="B236" s="91"/>
      <c r="C236" s="91"/>
      <c r="D236" s="93"/>
      <c r="E236" s="246"/>
      <c r="F236" s="246"/>
      <c r="G236" s="246"/>
      <c r="H236" s="246"/>
      <c r="I236" s="246"/>
    </row>
    <row r="237" spans="1:9" ht="12.75" customHeight="1">
      <c r="A237" s="91"/>
      <c r="B237" s="91"/>
      <c r="C237" s="91"/>
      <c r="D237" s="93"/>
      <c r="E237" s="246"/>
      <c r="F237" s="246"/>
      <c r="G237" s="246"/>
      <c r="H237" s="246"/>
      <c r="I237" s="246"/>
    </row>
    <row r="238" spans="1:9" ht="12.75" customHeight="1">
      <c r="A238" s="91"/>
      <c r="B238" s="821" t="s">
        <v>28</v>
      </c>
      <c r="C238" s="822"/>
      <c r="D238" s="93"/>
      <c r="E238" s="821" t="s">
        <v>87</v>
      </c>
      <c r="F238" s="821"/>
      <c r="G238" s="821"/>
      <c r="H238" s="821"/>
      <c r="I238" s="822"/>
    </row>
    <row r="239" spans="1:9" ht="12.75" customHeight="1">
      <c r="A239" s="91"/>
      <c r="B239" s="819" t="s">
        <v>113</v>
      </c>
      <c r="C239" s="820"/>
      <c r="E239" s="819" t="s">
        <v>113</v>
      </c>
      <c r="F239" s="819"/>
      <c r="G239" s="819"/>
      <c r="H239" s="819"/>
      <c r="I239" s="820"/>
    </row>
    <row r="240" spans="1:9" ht="25.5" customHeight="1">
      <c r="A240" s="91"/>
      <c r="B240" s="806" t="s">
        <v>114</v>
      </c>
      <c r="C240" s="807"/>
      <c r="E240" s="806" t="s">
        <v>114</v>
      </c>
      <c r="F240" s="806"/>
      <c r="G240" s="806"/>
      <c r="H240" s="806"/>
      <c r="I240" s="807"/>
    </row>
    <row r="241" spans="1:9" ht="25.5" customHeight="1">
      <c r="A241" s="91"/>
      <c r="B241" s="806"/>
      <c r="C241" s="807"/>
      <c r="E241" s="806"/>
      <c r="F241" s="806"/>
      <c r="G241" s="806"/>
      <c r="H241" s="806"/>
      <c r="I241" s="807"/>
    </row>
    <row r="242" spans="1:9" ht="25.5" customHeight="1">
      <c r="A242" s="91"/>
      <c r="B242" s="806"/>
      <c r="C242" s="807"/>
      <c r="E242" s="806"/>
      <c r="F242" s="806"/>
      <c r="G242" s="806"/>
      <c r="H242" s="806"/>
      <c r="I242" s="807"/>
    </row>
    <row r="243" spans="1:9" ht="25.5" customHeight="1">
      <c r="A243" s="91"/>
      <c r="B243" s="806"/>
      <c r="C243" s="807"/>
      <c r="E243" s="806"/>
      <c r="F243" s="806"/>
      <c r="G243" s="806"/>
      <c r="H243" s="806"/>
      <c r="I243" s="807"/>
    </row>
    <row r="244" spans="1:9" ht="25.5" customHeight="1">
      <c r="A244" s="91"/>
      <c r="B244" s="806"/>
      <c r="C244" s="807"/>
      <c r="E244" s="806"/>
      <c r="F244" s="806"/>
      <c r="G244" s="806"/>
      <c r="H244" s="806"/>
      <c r="I244" s="807"/>
    </row>
    <row r="245" spans="1:9">
      <c r="A245" s="91"/>
      <c r="B245" s="806"/>
      <c r="C245" s="807"/>
      <c r="E245" s="806"/>
      <c r="F245" s="806"/>
      <c r="G245" s="806"/>
      <c r="H245" s="806"/>
      <c r="I245" s="807"/>
    </row>
    <row r="246" spans="1:9">
      <c r="A246" s="91"/>
      <c r="B246" s="808"/>
      <c r="C246" s="809"/>
      <c r="D246" s="93"/>
      <c r="E246" s="808"/>
      <c r="F246" s="808"/>
      <c r="G246" s="808"/>
      <c r="H246" s="808"/>
      <c r="I246" s="809"/>
    </row>
    <row r="247" spans="1:9">
      <c r="A247" s="91"/>
      <c r="D247" s="93"/>
      <c r="E247" s="93"/>
    </row>
    <row r="248" spans="1:9">
      <c r="A248" s="91"/>
      <c r="D248" s="93"/>
      <c r="E248" s="93"/>
    </row>
    <row r="249" spans="1:9">
      <c r="A249" s="91"/>
      <c r="B249" s="821" t="s">
        <v>45</v>
      </c>
      <c r="C249" s="822"/>
      <c r="D249" s="93"/>
      <c r="E249" s="93"/>
    </row>
    <row r="250" spans="1:9">
      <c r="A250" s="91"/>
      <c r="B250" s="806" t="s">
        <v>113</v>
      </c>
      <c r="C250" s="807"/>
      <c r="D250" s="844"/>
      <c r="E250" s="844"/>
    </row>
    <row r="251" spans="1:9">
      <c r="A251" s="91"/>
      <c r="B251" s="806" t="s">
        <v>114</v>
      </c>
      <c r="C251" s="807"/>
      <c r="D251" s="844"/>
      <c r="E251" s="844"/>
    </row>
    <row r="252" spans="1:9">
      <c r="A252" s="91"/>
      <c r="B252" s="806"/>
      <c r="C252" s="807"/>
      <c r="D252" s="93"/>
      <c r="E252" s="93"/>
    </row>
    <row r="253" spans="1:9">
      <c r="A253" s="91"/>
      <c r="B253" s="806"/>
      <c r="C253" s="807"/>
      <c r="D253" s="93"/>
      <c r="E253" s="93"/>
    </row>
    <row r="254" spans="1:9">
      <c r="A254" s="91"/>
      <c r="B254" s="806"/>
      <c r="C254" s="807"/>
      <c r="D254" s="93"/>
      <c r="E254" s="93"/>
    </row>
    <row r="255" spans="1:9">
      <c r="A255" s="91"/>
      <c r="B255" s="806"/>
      <c r="C255" s="807"/>
      <c r="D255" s="93"/>
      <c r="E255" s="93"/>
    </row>
    <row r="256" spans="1:9">
      <c r="A256" s="91"/>
      <c r="B256" s="806"/>
      <c r="C256" s="807"/>
      <c r="D256" s="93"/>
      <c r="E256" s="93"/>
    </row>
    <row r="257" spans="1:14">
      <c r="A257" s="91"/>
      <c r="B257" s="808"/>
      <c r="C257" s="809"/>
      <c r="D257" s="93"/>
      <c r="E257" s="93"/>
    </row>
    <row r="258" spans="1:14">
      <c r="A258" s="91"/>
      <c r="D258" s="93"/>
      <c r="E258" s="93"/>
    </row>
    <row r="259" spans="1:14">
      <c r="A259" s="91"/>
      <c r="D259" s="93"/>
      <c r="E259" s="93"/>
    </row>
    <row r="260" spans="1:14">
      <c r="A260" s="91"/>
      <c r="D260" s="93"/>
      <c r="E260" s="93"/>
    </row>
    <row r="261" spans="1:14">
      <c r="A261" s="91"/>
      <c r="D261" s="93"/>
      <c r="E261" s="93"/>
    </row>
    <row r="262" spans="1:14">
      <c r="A262" s="91"/>
      <c r="D262" s="93"/>
      <c r="E262" s="93"/>
    </row>
    <row r="263" spans="1:14">
      <c r="A263" s="91"/>
      <c r="D263" s="93"/>
      <c r="E263" s="93"/>
    </row>
    <row r="264" spans="1:14">
      <c r="A264" s="91"/>
      <c r="B264" s="805" t="s">
        <v>123</v>
      </c>
      <c r="C264" s="805"/>
      <c r="D264" s="805"/>
      <c r="E264" s="805"/>
      <c r="F264" s="805"/>
      <c r="G264" s="805"/>
      <c r="H264" s="805"/>
      <c r="I264" s="98"/>
      <c r="J264" s="98"/>
      <c r="K264" s="98"/>
      <c r="L264" s="98"/>
      <c r="M264" s="98"/>
      <c r="N264" s="98"/>
    </row>
    <row r="265" spans="1:14">
      <c r="A265" s="91"/>
      <c r="B265" s="93"/>
      <c r="C265" s="93"/>
      <c r="D265" s="93"/>
      <c r="E265" s="93"/>
    </row>
    <row r="266" spans="1:14">
      <c r="B266" s="33"/>
    </row>
    <row r="267" spans="1:14">
      <c r="B267" s="573" t="s">
        <v>124</v>
      </c>
    </row>
    <row r="268" spans="1:14">
      <c r="B268" s="356" t="s">
        <v>125</v>
      </c>
    </row>
    <row r="269" spans="1:14">
      <c r="B269" s="357" t="s">
        <v>126</v>
      </c>
    </row>
    <row r="270" spans="1:14">
      <c r="B270" s="358" t="s">
        <v>127</v>
      </c>
    </row>
    <row r="271" spans="1:14">
      <c r="B271" s="359"/>
    </row>
    <row r="272" spans="1:14">
      <c r="B272" s="88"/>
    </row>
    <row r="273" spans="2:2">
      <c r="B273" s="573" t="s">
        <v>128</v>
      </c>
    </row>
    <row r="274" spans="2:2" ht="12.75" customHeight="1">
      <c r="B274" s="360" t="s">
        <v>129</v>
      </c>
    </row>
    <row r="275" spans="2:2" ht="13.5" customHeight="1">
      <c r="B275" s="357" t="s">
        <v>130</v>
      </c>
    </row>
    <row r="276" spans="2:2" ht="13.5" customHeight="1">
      <c r="B276" s="357" t="s">
        <v>131</v>
      </c>
    </row>
    <row r="277" spans="2:2">
      <c r="B277" s="357" t="s">
        <v>132</v>
      </c>
    </row>
    <row r="278" spans="2:2" ht="13.5" customHeight="1">
      <c r="B278" s="357" t="s">
        <v>133</v>
      </c>
    </row>
    <row r="279" spans="2:2">
      <c r="B279" s="357" t="s">
        <v>134</v>
      </c>
    </row>
    <row r="280" spans="2:2">
      <c r="B280" s="357" t="s">
        <v>135</v>
      </c>
    </row>
    <row r="281" spans="2:2">
      <c r="B281" s="357"/>
    </row>
    <row r="282" spans="2:2">
      <c r="B282" s="359"/>
    </row>
    <row r="283" spans="2:2" ht="13.5" customHeight="1">
      <c r="B283" s="88"/>
    </row>
    <row r="284" spans="2:2" ht="13.5" customHeight="1">
      <c r="B284" s="573" t="s">
        <v>136</v>
      </c>
    </row>
    <row r="285" spans="2:2" ht="13.5" customHeight="1">
      <c r="B285" s="360" t="s">
        <v>137</v>
      </c>
    </row>
    <row r="286" spans="2:2">
      <c r="B286" s="357" t="s">
        <v>138</v>
      </c>
    </row>
    <row r="287" spans="2:2">
      <c r="B287" s="357" t="s">
        <v>139</v>
      </c>
    </row>
    <row r="288" spans="2:2">
      <c r="B288" s="357" t="s">
        <v>140</v>
      </c>
    </row>
    <row r="289" spans="2:2">
      <c r="B289" s="357" t="s">
        <v>141</v>
      </c>
    </row>
    <row r="290" spans="2:2">
      <c r="B290" s="359"/>
    </row>
    <row r="291" spans="2:2">
      <c r="B291" s="88"/>
    </row>
    <row r="292" spans="2:2">
      <c r="B292" s="573" t="s">
        <v>142</v>
      </c>
    </row>
    <row r="293" spans="2:2" ht="12.75" customHeight="1">
      <c r="B293" s="360" t="s">
        <v>143</v>
      </c>
    </row>
    <row r="294" spans="2:2" ht="12.75" customHeight="1">
      <c r="B294" s="357" t="s">
        <v>144</v>
      </c>
    </row>
    <row r="295" spans="2:2" ht="12.75" customHeight="1">
      <c r="B295" s="359"/>
    </row>
    <row r="296" spans="2:2" ht="12.75" customHeight="1">
      <c r="B296" s="88"/>
    </row>
    <row r="297" spans="2:2">
      <c r="B297" s="573" t="s">
        <v>145</v>
      </c>
    </row>
    <row r="298" spans="2:2">
      <c r="B298" s="360" t="s">
        <v>146</v>
      </c>
    </row>
    <row r="299" spans="2:2">
      <c r="B299" s="357" t="s">
        <v>147</v>
      </c>
    </row>
    <row r="300" spans="2:2">
      <c r="B300" s="359" t="s">
        <v>148</v>
      </c>
    </row>
    <row r="301" spans="2:2">
      <c r="B301" s="88"/>
    </row>
    <row r="302" spans="2:2">
      <c r="B302" s="573" t="s">
        <v>149</v>
      </c>
    </row>
    <row r="303" spans="2:2" ht="12.75" customHeight="1">
      <c r="B303" s="360" t="s">
        <v>150</v>
      </c>
    </row>
    <row r="304" spans="2:2" ht="13.5" customHeight="1">
      <c r="B304" s="357" t="s">
        <v>151</v>
      </c>
    </row>
    <row r="305" spans="2:2" ht="12.75" customHeight="1">
      <c r="B305" s="357"/>
    </row>
    <row r="306" spans="2:2" ht="12.75" customHeight="1">
      <c r="B306" s="359"/>
    </row>
    <row r="307" spans="2:2" ht="12.75" customHeight="1">
      <c r="B307" s="88"/>
    </row>
    <row r="308" spans="2:2">
      <c r="B308" s="573" t="s">
        <v>152</v>
      </c>
    </row>
    <row r="309" spans="2:2">
      <c r="B309" s="360" t="s">
        <v>153</v>
      </c>
    </row>
    <row r="310" spans="2:2">
      <c r="B310" s="357" t="s">
        <v>154</v>
      </c>
    </row>
    <row r="311" spans="2:2">
      <c r="B311" s="357"/>
    </row>
    <row r="312" spans="2:2">
      <c r="B312" s="359"/>
    </row>
    <row r="313" spans="2:2">
      <c r="B313" s="88"/>
    </row>
    <row r="314" spans="2:2">
      <c r="B314" s="573" t="s">
        <v>155</v>
      </c>
    </row>
    <row r="315" spans="2:2">
      <c r="B315" s="360" t="s">
        <v>125</v>
      </c>
    </row>
    <row r="316" spans="2:2">
      <c r="B316" s="357" t="s">
        <v>126</v>
      </c>
    </row>
    <row r="317" spans="2:2" ht="12.75" customHeight="1">
      <c r="B317" s="359"/>
    </row>
  </sheetData>
  <mergeCells count="140">
    <mergeCell ref="B198:C198"/>
    <mergeCell ref="B209:C209"/>
    <mergeCell ref="B244:C244"/>
    <mergeCell ref="E244:I244"/>
    <mergeCell ref="B254:C254"/>
    <mergeCell ref="B249:C249"/>
    <mergeCell ref="B250:C250"/>
    <mergeCell ref="B251:C251"/>
    <mergeCell ref="B252:C252"/>
    <mergeCell ref="B253:C253"/>
    <mergeCell ref="B202:C202"/>
    <mergeCell ref="E221:I221"/>
    <mergeCell ref="B212:C212"/>
    <mergeCell ref="B213:C213"/>
    <mergeCell ref="B211:C211"/>
    <mergeCell ref="B205:C205"/>
    <mergeCell ref="B233:C233"/>
    <mergeCell ref="E233:I233"/>
    <mergeCell ref="E245:I245"/>
    <mergeCell ref="B220:C220"/>
    <mergeCell ref="B222:C222"/>
    <mergeCell ref="B207:C207"/>
    <mergeCell ref="B208:C208"/>
    <mergeCell ref="B228:C228"/>
    <mergeCell ref="B255:C255"/>
    <mergeCell ref="B256:C256"/>
    <mergeCell ref="B257:C257"/>
    <mergeCell ref="D250:E250"/>
    <mergeCell ref="D251:E251"/>
    <mergeCell ref="E174:H174"/>
    <mergeCell ref="E175:H175"/>
    <mergeCell ref="E176:H176"/>
    <mergeCell ref="E177:H177"/>
    <mergeCell ref="E178:H178"/>
    <mergeCell ref="E179:H179"/>
    <mergeCell ref="B199:C199"/>
    <mergeCell ref="B200:C200"/>
    <mergeCell ref="E241:I241"/>
    <mergeCell ref="E242:I242"/>
    <mergeCell ref="E243:I243"/>
    <mergeCell ref="B230:C230"/>
    <mergeCell ref="B231:C231"/>
    <mergeCell ref="B234:C234"/>
    <mergeCell ref="B235:C235"/>
    <mergeCell ref="B227:C227"/>
    <mergeCell ref="E227:I227"/>
    <mergeCell ref="B232:C232"/>
    <mergeCell ref="B201:C201"/>
    <mergeCell ref="B174:C174"/>
    <mergeCell ref="B175:C175"/>
    <mergeCell ref="B176:C176"/>
    <mergeCell ref="B178:C178"/>
    <mergeCell ref="B179:C179"/>
    <mergeCell ref="E169:F169"/>
    <mergeCell ref="E163:H163"/>
    <mergeCell ref="E164:H164"/>
    <mergeCell ref="E165:H165"/>
    <mergeCell ref="E166:H166"/>
    <mergeCell ref="E167:H167"/>
    <mergeCell ref="E168:H168"/>
    <mergeCell ref="E162:H162"/>
    <mergeCell ref="E173:H173"/>
    <mergeCell ref="E172:H172"/>
    <mergeCell ref="B157:C157"/>
    <mergeCell ref="B158:C158"/>
    <mergeCell ref="B159:C159"/>
    <mergeCell ref="B169:C169"/>
    <mergeCell ref="B149:C149"/>
    <mergeCell ref="B139:C139"/>
    <mergeCell ref="B172:C172"/>
    <mergeCell ref="B162:C162"/>
    <mergeCell ref="B165:C165"/>
    <mergeCell ref="B166:C166"/>
    <mergeCell ref="B167:C167"/>
    <mergeCell ref="B168:C168"/>
    <mergeCell ref="B154:C154"/>
    <mergeCell ref="B142:C142"/>
    <mergeCell ref="B153:C153"/>
    <mergeCell ref="B155:C155"/>
    <mergeCell ref="B156:C156"/>
    <mergeCell ref="B173:C173"/>
    <mergeCell ref="O53:U53"/>
    <mergeCell ref="H53:N53"/>
    <mergeCell ref="B177:C177"/>
    <mergeCell ref="B195:C195"/>
    <mergeCell ref="B196:C196"/>
    <mergeCell ref="B197:C197"/>
    <mergeCell ref="B194:C194"/>
    <mergeCell ref="B206:C206"/>
    <mergeCell ref="B132:C132"/>
    <mergeCell ref="B164:C164"/>
    <mergeCell ref="B163:C163"/>
    <mergeCell ref="B143:C143"/>
    <mergeCell ref="B144:C144"/>
    <mergeCell ref="B145:C145"/>
    <mergeCell ref="B146:C146"/>
    <mergeCell ref="B147:C147"/>
    <mergeCell ref="B148:C148"/>
    <mergeCell ref="B133:C133"/>
    <mergeCell ref="B134:C134"/>
    <mergeCell ref="B135:C135"/>
    <mergeCell ref="B136:C136"/>
    <mergeCell ref="B137:C137"/>
    <mergeCell ref="B138:C138"/>
    <mergeCell ref="B152:C152"/>
    <mergeCell ref="B210:C210"/>
    <mergeCell ref="E238:I238"/>
    <mergeCell ref="E235:I235"/>
    <mergeCell ref="B229:C229"/>
    <mergeCell ref="E217:I217"/>
    <mergeCell ref="E218:I218"/>
    <mergeCell ref="E219:I219"/>
    <mergeCell ref="E216:I216"/>
    <mergeCell ref="B217:C217"/>
    <mergeCell ref="B218:C218"/>
    <mergeCell ref="B219:C219"/>
    <mergeCell ref="B264:H264"/>
    <mergeCell ref="B223:C223"/>
    <mergeCell ref="B224:C224"/>
    <mergeCell ref="E220:I220"/>
    <mergeCell ref="E222:I222"/>
    <mergeCell ref="E223:I223"/>
    <mergeCell ref="E224:I224"/>
    <mergeCell ref="E234:I234"/>
    <mergeCell ref="E228:I228"/>
    <mergeCell ref="E229:I229"/>
    <mergeCell ref="E230:I230"/>
    <mergeCell ref="E231:I231"/>
    <mergeCell ref="E232:I232"/>
    <mergeCell ref="E246:I246"/>
    <mergeCell ref="B238:C238"/>
    <mergeCell ref="B239:C239"/>
    <mergeCell ref="B240:C240"/>
    <mergeCell ref="B241:C241"/>
    <mergeCell ref="B242:C242"/>
    <mergeCell ref="B243:C243"/>
    <mergeCell ref="B245:C245"/>
    <mergeCell ref="B246:C246"/>
    <mergeCell ref="E239:I239"/>
    <mergeCell ref="E240:I240"/>
  </mergeCells>
  <conditionalFormatting sqref="H53">
    <cfRule type="expression" dxfId="106" priority="15">
      <formula>AND(#REF!="Actuals",#REF!="Forecast")</formula>
    </cfRule>
  </conditionalFormatting>
  <conditionalFormatting sqref="H54:N54">
    <cfRule type="expression" dxfId="105" priority="14">
      <formula>AND(#REF!="Actuals",#REF!="Forecast")</formula>
    </cfRule>
  </conditionalFormatting>
  <conditionalFormatting sqref="C89:I89">
    <cfRule type="expression" dxfId="104" priority="10">
      <formula>AND(#REF!="Actuals",#REF!="Forecast")</formula>
    </cfRule>
  </conditionalFormatting>
  <conditionalFormatting sqref="O53">
    <cfRule type="expression" dxfId="103" priority="4">
      <formula>AND(#REF!="Actuals",#REF!="Forecast")</formula>
    </cfRule>
  </conditionalFormatting>
  <conditionalFormatting sqref="O54:U54">
    <cfRule type="expression" dxfId="102" priority="3">
      <formula>AND(#REF!="Actuals",#REF!="Forecast")</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8" id="{FAB975EA-77B5-47ED-B7AC-B8CAF74E8714}">
            <xm:f>AND('RFPR cover'!A$7="Actuals",'RFPR cover'!B$7="Forecast")</xm:f>
            <x14:dxf>
              <border>
                <right style="thin">
                  <color auto="1"/>
                </right>
                <vertical/>
                <horizontal/>
              </border>
            </x14:dxf>
          </x14:cfRule>
          <xm:sqref>C35:J35 C46:J46 D25:K25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5"/>
  <sheetViews>
    <sheetView showGridLines="0" zoomScale="80" zoomScaleNormal="80" workbookViewId="0">
      <pane ySplit="3" topLeftCell="A4" activePane="bottomLeft" state="frozen"/>
      <selection activeCell="B26" sqref="B26"/>
      <selection pane="bottomLeft" activeCell="B3" sqref="B3"/>
    </sheetView>
  </sheetViews>
  <sheetFormatPr defaultRowHeight="12.4"/>
  <cols>
    <col min="1" max="1" width="8.3515625" customWidth="1"/>
    <col min="2" max="2" width="23.76171875" customWidth="1"/>
    <col min="3" max="3" width="25.76171875" customWidth="1"/>
    <col min="4" max="4" width="9.76171875" customWidth="1"/>
  </cols>
  <sheetData>
    <row r="1" spans="1:13" ht="20.65">
      <c r="A1" s="290" t="s">
        <v>156</v>
      </c>
      <c r="B1" s="290"/>
      <c r="C1" s="290"/>
      <c r="D1" s="290"/>
      <c r="E1" s="290"/>
      <c r="F1" s="290"/>
      <c r="G1" s="290"/>
      <c r="H1" s="290"/>
      <c r="I1" s="18" t="s">
        <v>157</v>
      </c>
      <c r="J1" s="19"/>
      <c r="K1" s="19"/>
      <c r="L1" s="19"/>
      <c r="M1" s="19"/>
    </row>
    <row r="2" spans="1:13" ht="20.65">
      <c r="A2" s="295" t="str">
        <f>Licensee</f>
        <v>Cadent-NW</v>
      </c>
      <c r="B2" s="290"/>
      <c r="C2" s="290"/>
      <c r="D2" s="290"/>
      <c r="E2" s="290"/>
      <c r="F2" s="290"/>
      <c r="G2" s="290"/>
      <c r="H2" s="290"/>
      <c r="I2" s="19"/>
      <c r="J2" s="19"/>
      <c r="K2" s="19"/>
      <c r="L2" s="19"/>
      <c r="M2" s="19"/>
    </row>
    <row r="3" spans="1:13" ht="20.65">
      <c r="A3" s="290">
        <f>Reporting_Year</f>
        <v>2022</v>
      </c>
      <c r="B3" s="290"/>
      <c r="C3" s="290"/>
      <c r="D3" s="290"/>
      <c r="E3" s="290"/>
      <c r="F3" s="290"/>
      <c r="G3" s="290"/>
      <c r="H3" s="290"/>
      <c r="I3" s="19"/>
      <c r="J3" s="19"/>
      <c r="K3" s="19"/>
      <c r="L3" s="19"/>
      <c r="M3" s="19"/>
    </row>
    <row r="4" spans="1:13">
      <c r="A4" s="13"/>
      <c r="B4" s="13"/>
      <c r="C4" s="13"/>
      <c r="D4" s="13"/>
      <c r="E4" s="13"/>
      <c r="F4" s="13"/>
      <c r="G4" s="13"/>
      <c r="H4" s="13"/>
      <c r="I4" s="13"/>
      <c r="J4" s="13"/>
      <c r="K4" s="13"/>
      <c r="L4" s="13"/>
      <c r="M4" s="13"/>
    </row>
    <row r="5" spans="1:13">
      <c r="A5" s="13"/>
      <c r="B5" s="13"/>
      <c r="C5" s="13"/>
      <c r="D5" s="13"/>
      <c r="E5" s="13"/>
      <c r="F5" s="13"/>
      <c r="G5" s="13"/>
      <c r="H5" s="13"/>
      <c r="I5" s="13"/>
      <c r="J5" s="13"/>
      <c r="K5" s="13"/>
      <c r="L5" s="13"/>
      <c r="M5" s="13"/>
    </row>
    <row r="6" spans="1:13">
      <c r="A6" s="13"/>
      <c r="B6" s="14" t="s">
        <v>158</v>
      </c>
      <c r="C6" s="13"/>
      <c r="D6" s="13"/>
      <c r="E6" s="13"/>
      <c r="F6" s="13"/>
      <c r="G6" s="13"/>
      <c r="H6" s="13"/>
      <c r="I6" s="13"/>
      <c r="J6" s="13"/>
      <c r="K6" s="13"/>
      <c r="L6" s="13"/>
      <c r="M6" s="13"/>
    </row>
    <row r="7" spans="1:13">
      <c r="A7" s="13"/>
      <c r="B7" s="13"/>
      <c r="C7" s="13"/>
      <c r="D7" s="13"/>
      <c r="E7" s="13"/>
      <c r="F7" s="13"/>
      <c r="G7" s="13"/>
      <c r="H7" s="13"/>
      <c r="I7" s="13"/>
      <c r="J7" s="13"/>
      <c r="K7" s="13"/>
      <c r="L7" s="13"/>
      <c r="M7" s="13"/>
    </row>
    <row r="8" spans="1:13">
      <c r="A8" s="13"/>
      <c r="B8" s="574" t="s">
        <v>159</v>
      </c>
      <c r="C8" s="574" t="s">
        <v>160</v>
      </c>
      <c r="D8" s="847" t="s">
        <v>161</v>
      </c>
      <c r="E8" s="848"/>
      <c r="F8" s="848"/>
      <c r="G8" s="848"/>
      <c r="H8" s="848"/>
      <c r="I8" s="13"/>
      <c r="J8" s="13"/>
      <c r="K8" s="13"/>
      <c r="L8" s="13"/>
      <c r="M8" s="13"/>
    </row>
    <row r="9" spans="1:13">
      <c r="A9" s="13"/>
      <c r="B9" s="575" t="s">
        <v>162</v>
      </c>
      <c r="C9" s="576" t="s">
        <v>163</v>
      </c>
      <c r="D9" s="845"/>
      <c r="E9" s="846"/>
      <c r="F9" s="846"/>
      <c r="G9" s="846"/>
      <c r="H9" s="846"/>
      <c r="I9" s="13"/>
      <c r="J9" s="13"/>
      <c r="K9" s="13"/>
      <c r="L9" s="13"/>
      <c r="M9" s="13"/>
    </row>
    <row r="10" spans="1:13">
      <c r="A10" s="13"/>
      <c r="B10" s="575" t="s">
        <v>164</v>
      </c>
      <c r="C10" s="576"/>
      <c r="D10" s="845"/>
      <c r="E10" s="846"/>
      <c r="F10" s="846"/>
      <c r="G10" s="846"/>
      <c r="H10" s="846"/>
      <c r="I10" s="13"/>
      <c r="J10" s="13"/>
      <c r="K10" s="13"/>
      <c r="L10" s="13"/>
      <c r="M10" s="13"/>
    </row>
    <row r="11" spans="1:13">
      <c r="A11" s="13"/>
      <c r="B11" s="575" t="s">
        <v>165</v>
      </c>
      <c r="C11" s="576"/>
      <c r="D11" s="845"/>
      <c r="E11" s="846"/>
      <c r="F11" s="846"/>
      <c r="G11" s="846"/>
      <c r="H11" s="846"/>
      <c r="I11" s="13"/>
      <c r="J11" s="13"/>
      <c r="K11" s="13"/>
      <c r="L11" s="13"/>
      <c r="M11" s="13"/>
    </row>
    <row r="12" spans="1:13">
      <c r="A12" s="13"/>
      <c r="B12" s="575" t="s">
        <v>166</v>
      </c>
      <c r="C12" s="576"/>
      <c r="D12" s="845"/>
      <c r="E12" s="846"/>
      <c r="F12" s="846"/>
      <c r="G12" s="846"/>
      <c r="H12" s="846"/>
      <c r="I12" s="13"/>
      <c r="J12" s="13"/>
      <c r="K12" s="13"/>
      <c r="L12" s="13"/>
      <c r="M12" s="13"/>
    </row>
    <row r="13" spans="1:13">
      <c r="A13" s="13"/>
      <c r="B13" s="575" t="s">
        <v>167</v>
      </c>
      <c r="C13" s="576"/>
      <c r="D13" s="845"/>
      <c r="E13" s="846"/>
      <c r="F13" s="846"/>
      <c r="G13" s="846"/>
      <c r="H13" s="846"/>
      <c r="I13" s="13"/>
      <c r="J13" s="13"/>
      <c r="K13" s="13"/>
      <c r="L13" s="13"/>
      <c r="M13" s="13"/>
    </row>
    <row r="14" spans="1:13">
      <c r="A14" s="13"/>
      <c r="B14" s="575" t="s">
        <v>168</v>
      </c>
      <c r="C14" s="576"/>
      <c r="D14" s="845"/>
      <c r="E14" s="846"/>
      <c r="F14" s="846"/>
      <c r="G14" s="846"/>
      <c r="H14" s="846"/>
      <c r="I14" s="13"/>
      <c r="J14" s="13"/>
      <c r="K14" s="13"/>
      <c r="L14" s="13"/>
      <c r="M14" s="13"/>
    </row>
    <row r="15" spans="1:13">
      <c r="A15" s="13"/>
      <c r="B15" s="575" t="s">
        <v>169</v>
      </c>
      <c r="C15" s="576"/>
      <c r="D15" s="845"/>
      <c r="E15" s="846"/>
      <c r="F15" s="846"/>
      <c r="G15" s="846"/>
      <c r="H15" s="846"/>
      <c r="I15" s="13"/>
      <c r="J15" s="13"/>
      <c r="K15" s="13"/>
      <c r="L15" s="13"/>
      <c r="M15" s="13"/>
    </row>
    <row r="16" spans="1:13">
      <c r="A16" s="13"/>
      <c r="B16" s="575" t="s">
        <v>170</v>
      </c>
      <c r="C16" s="576"/>
      <c r="D16" s="845"/>
      <c r="E16" s="846"/>
      <c r="F16" s="846"/>
      <c r="G16" s="846"/>
      <c r="H16" s="846"/>
      <c r="I16" s="13"/>
      <c r="J16" s="13"/>
      <c r="K16" s="13"/>
      <c r="L16" s="13"/>
      <c r="M16" s="13"/>
    </row>
    <row r="17" spans="1:13">
      <c r="A17" s="13"/>
      <c r="B17" s="575" t="s">
        <v>171</v>
      </c>
      <c r="C17" s="576"/>
      <c r="D17" s="845"/>
      <c r="E17" s="846"/>
      <c r="F17" s="846"/>
      <c r="G17" s="846"/>
      <c r="H17" s="846"/>
      <c r="I17" s="13"/>
      <c r="J17" s="13"/>
      <c r="K17" s="13"/>
      <c r="L17" s="13"/>
      <c r="M17" s="13"/>
    </row>
    <row r="18" spans="1:13">
      <c r="A18" s="13"/>
      <c r="B18" s="575" t="s">
        <v>172</v>
      </c>
      <c r="C18" s="576"/>
      <c r="D18" s="845"/>
      <c r="E18" s="846"/>
      <c r="F18" s="846"/>
      <c r="G18" s="846"/>
      <c r="H18" s="846"/>
      <c r="I18" s="13"/>
      <c r="J18" s="13"/>
      <c r="K18" s="13"/>
      <c r="L18" s="13"/>
      <c r="M18" s="13"/>
    </row>
    <row r="19" spans="1:13">
      <c r="A19" s="13"/>
      <c r="B19" s="13"/>
      <c r="C19" s="13"/>
      <c r="D19" s="13"/>
      <c r="E19" s="13"/>
      <c r="F19" s="13"/>
      <c r="G19" s="13"/>
      <c r="H19" s="13"/>
      <c r="I19" s="13"/>
      <c r="J19" s="13"/>
      <c r="K19" s="13"/>
      <c r="L19" s="13"/>
      <c r="M19" s="13"/>
    </row>
    <row r="20" spans="1:13">
      <c r="A20" s="13"/>
      <c r="B20" s="88"/>
      <c r="C20" s="13"/>
      <c r="D20" s="13"/>
      <c r="E20" s="13"/>
      <c r="F20" s="13"/>
      <c r="G20" s="13"/>
      <c r="H20" s="13"/>
      <c r="I20" s="13"/>
      <c r="J20" s="13"/>
      <c r="K20" s="13"/>
      <c r="L20" s="13"/>
    </row>
    <row r="21" spans="1:13">
      <c r="A21" s="13"/>
      <c r="B21" s="125" t="s">
        <v>173</v>
      </c>
      <c r="C21" s="13"/>
      <c r="D21" s="13"/>
      <c r="E21" s="13"/>
      <c r="F21" s="13"/>
      <c r="G21" s="13"/>
      <c r="H21" s="13"/>
      <c r="I21" s="13"/>
      <c r="J21" s="13"/>
      <c r="K21" s="13"/>
      <c r="L21" s="13"/>
    </row>
    <row r="22" spans="1:13">
      <c r="A22" s="13"/>
      <c r="B22" s="125" t="s">
        <v>174</v>
      </c>
      <c r="C22" s="13"/>
      <c r="D22" s="13"/>
      <c r="E22" s="13"/>
      <c r="F22" s="13"/>
      <c r="G22" s="13"/>
      <c r="H22" s="13"/>
      <c r="I22" s="13"/>
      <c r="J22" s="13"/>
      <c r="K22" s="13"/>
      <c r="L22" s="13"/>
    </row>
    <row r="23" spans="1:13">
      <c r="A23" s="13"/>
      <c r="B23" s="125" t="s">
        <v>175</v>
      </c>
      <c r="C23" s="13"/>
      <c r="D23" s="13"/>
      <c r="E23" s="13"/>
      <c r="F23" s="13"/>
      <c r="G23" s="13"/>
      <c r="H23" s="13"/>
      <c r="I23" s="13"/>
      <c r="J23" s="13"/>
      <c r="K23" s="13"/>
      <c r="L23" s="13"/>
    </row>
    <row r="24" spans="1:13">
      <c r="B24" s="125" t="s">
        <v>176</v>
      </c>
    </row>
    <row r="25" spans="1:13">
      <c r="B25" s="125" t="s">
        <v>177</v>
      </c>
    </row>
    <row r="26" spans="1:13">
      <c r="B26" s="125" t="s">
        <v>178</v>
      </c>
    </row>
    <row r="27" spans="1:13">
      <c r="B27" s="125" t="s">
        <v>179</v>
      </c>
    </row>
    <row r="28" spans="1:13">
      <c r="B28" s="125" t="s">
        <v>180</v>
      </c>
    </row>
    <row r="29" spans="1:13">
      <c r="B29" s="125" t="s">
        <v>181</v>
      </c>
    </row>
    <row r="30" spans="1:13">
      <c r="B30" s="125" t="s">
        <v>182</v>
      </c>
    </row>
    <row r="31" spans="1:13">
      <c r="B31" s="527" t="s">
        <v>183</v>
      </c>
    </row>
    <row r="32" spans="1:13">
      <c r="B32" s="125" t="s">
        <v>184</v>
      </c>
    </row>
    <row r="33" spans="2:5">
      <c r="B33" s="125" t="s">
        <v>185</v>
      </c>
    </row>
    <row r="35" spans="2:5">
      <c r="E35" s="125"/>
    </row>
  </sheetData>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xr:uid="{00000000-0004-0000-0200-000000000000}"/>
    <hyperlink ref="B22" location="'R2 - Rec to Revenue and Profit'!A1" display="R2 - Rec to Revenue and Profit" xr:uid="{00000000-0004-0000-0200-000001000000}"/>
    <hyperlink ref="B23" location="'R3 - Totex - Reconciliation'!A1" display="R3 - Totex - Reconciliation" xr:uid="{00000000-0004-0000-0200-000002000000}"/>
    <hyperlink ref="B24" location="'R4 - Incentives and Other Rev'!A1" display="R4 - Incentives and Other Rev" xr:uid="{00000000-0004-0000-0200-000003000000}"/>
    <hyperlink ref="B25" location="'R5 - Financing'!A1" display="R5 - Financing" xr:uid="{00000000-0004-0000-0200-000004000000}"/>
    <hyperlink ref="B27" location="'R6 - Net Debt'!A1" display="R6 - Net Debt" xr:uid="{00000000-0004-0000-0200-000005000000}"/>
    <hyperlink ref="B29" location="'R7 - RAV'!A1" display="R7 - RAV" xr:uid="{00000000-0004-0000-0200-000006000000}"/>
    <hyperlink ref="B30" location="'R8 - Tax'!A1" display="R8 - Tax" xr:uid="{00000000-0004-0000-0200-000007000000}"/>
    <hyperlink ref="B26" location="'R5a - Financing input'!A1" display="R5a - Financing input" xr:uid="{00000000-0004-0000-0200-000008000000}"/>
    <hyperlink ref="B28" location="'R6a - Net Debt input'!A1" display="R6a - Net Debt input" xr:uid="{00000000-0004-0000-0200-000009000000}"/>
    <hyperlink ref="B32" location="'R9 - Corporate Governance'!A1" display="R9 - Corporate Governance" xr:uid="{00000000-0004-0000-0200-00000A000000}"/>
    <hyperlink ref="B33" location="'R10 - Pensions &amp; Oth Activities'!A1" display="R10 - Pensions &amp; other Activities" xr:uid="{00000000-0004-0000-0200-00000B000000}"/>
    <hyperlink ref="B31" location="'R8a - Tax Reconciliation'!A1" display="R8a - Tax Reconciliation" xr:uid="{6D0E9797-CD83-4C8E-A7B6-E14DABE203E5}"/>
  </hyperlinks>
  <pageMargins left="0.70866141732283472" right="0.70866141732283472" top="0.74803149606299213" bottom="0.74803149606299213" header="0.31496062992125984" footer="0.31496062992125984"/>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67"/>
  <sheetViews>
    <sheetView showGridLines="0" zoomScale="80" zoomScaleNormal="80" workbookViewId="0">
      <pane ySplit="5" topLeftCell="A6" activePane="bottomLeft" state="frozen"/>
      <selection activeCell="D15" sqref="D15"/>
      <selection pane="bottomLeft" activeCell="A6" sqref="A6:C7"/>
    </sheetView>
  </sheetViews>
  <sheetFormatPr defaultRowHeight="12.4"/>
  <cols>
    <col min="1" max="1" width="19.1171875" bestFit="1" customWidth="1"/>
    <col min="2" max="2" width="12.1171875" bestFit="1" customWidth="1"/>
    <col min="3" max="3" width="104.1171875" customWidth="1"/>
    <col min="4" max="4" width="35.46875" customWidth="1"/>
  </cols>
  <sheetData>
    <row r="1" spans="1:4" ht="20.65">
      <c r="A1" s="16" t="s">
        <v>186</v>
      </c>
      <c r="B1" s="16"/>
      <c r="C1" s="16"/>
      <c r="D1" s="16"/>
    </row>
    <row r="2" spans="1:4" ht="20.65">
      <c r="A2" s="295" t="str">
        <f>Licensee</f>
        <v>Cadent-NW</v>
      </c>
      <c r="B2" s="16"/>
      <c r="C2" s="16"/>
      <c r="D2" s="16"/>
    </row>
    <row r="3" spans="1:4" ht="20.65">
      <c r="A3" s="290">
        <f>Reporting_Year</f>
        <v>2022</v>
      </c>
      <c r="B3" s="16"/>
      <c r="C3" s="16"/>
      <c r="D3" s="16"/>
    </row>
    <row r="4" spans="1:4" ht="20.65">
      <c r="A4" s="266"/>
      <c r="B4" s="266"/>
      <c r="C4" s="266"/>
      <c r="D4" s="266"/>
    </row>
    <row r="5" spans="1:4" ht="27.75">
      <c r="A5" s="263" t="s">
        <v>187</v>
      </c>
      <c r="B5" s="264" t="s">
        <v>188</v>
      </c>
      <c r="C5" s="265" t="s">
        <v>189</v>
      </c>
    </row>
    <row r="6" spans="1:4">
      <c r="A6" s="132">
        <v>1.1000000000000001</v>
      </c>
      <c r="B6" s="269" t="s">
        <v>707</v>
      </c>
      <c r="C6" s="271" t="s">
        <v>708</v>
      </c>
    </row>
    <row r="7" spans="1:4" ht="24.75">
      <c r="A7" s="132">
        <v>1.2</v>
      </c>
      <c r="B7" s="269" t="s">
        <v>709</v>
      </c>
      <c r="C7" s="271" t="s">
        <v>710</v>
      </c>
    </row>
    <row r="8" spans="1:4">
      <c r="A8" s="132"/>
      <c r="B8" s="269"/>
      <c r="C8" s="271"/>
    </row>
    <row r="9" spans="1:4">
      <c r="A9" s="132"/>
      <c r="B9" s="269"/>
      <c r="C9" s="271"/>
    </row>
    <row r="10" spans="1:4" ht="34.15" customHeight="1">
      <c r="A10" s="132"/>
      <c r="B10" s="269"/>
      <c r="C10" s="271"/>
    </row>
    <row r="11" spans="1:4">
      <c r="A11" s="132"/>
      <c r="B11" s="269"/>
      <c r="C11" s="271"/>
    </row>
    <row r="12" spans="1:4">
      <c r="A12" s="132"/>
      <c r="B12" s="269"/>
      <c r="C12" s="271"/>
    </row>
    <row r="13" spans="1:4">
      <c r="A13" s="132"/>
      <c r="B13" s="269"/>
      <c r="C13" s="271"/>
    </row>
    <row r="14" spans="1:4">
      <c r="A14" s="132"/>
      <c r="B14" s="269"/>
      <c r="C14" s="271"/>
    </row>
    <row r="15" spans="1:4">
      <c r="A15" s="132"/>
      <c r="B15" s="269"/>
      <c r="C15" s="271"/>
    </row>
    <row r="16" spans="1:4">
      <c r="A16" s="132"/>
      <c r="B16" s="269"/>
      <c r="C16" s="271"/>
    </row>
    <row r="17" spans="1:3">
      <c r="A17" s="132"/>
      <c r="B17" s="269"/>
      <c r="C17" s="271"/>
    </row>
    <row r="18" spans="1:3">
      <c r="A18" s="132"/>
      <c r="B18" s="269"/>
      <c r="C18" s="271"/>
    </row>
    <row r="19" spans="1:3">
      <c r="A19" s="132"/>
      <c r="B19" s="269"/>
      <c r="C19" s="271"/>
    </row>
    <row r="20" spans="1:3">
      <c r="A20" s="132"/>
      <c r="B20" s="269"/>
      <c r="C20" s="271"/>
    </row>
    <row r="21" spans="1:3">
      <c r="A21" s="133"/>
      <c r="B21" s="267"/>
      <c r="C21" s="126"/>
    </row>
    <row r="22" spans="1:3">
      <c r="A22" s="133"/>
      <c r="B22" s="267"/>
      <c r="C22" s="126"/>
    </row>
    <row r="23" spans="1:3">
      <c r="A23" s="133"/>
      <c r="B23" s="133"/>
      <c r="C23" s="126"/>
    </row>
    <row r="24" spans="1:3">
      <c r="A24" s="133"/>
      <c r="B24" s="267"/>
      <c r="C24" s="126"/>
    </row>
    <row r="25" spans="1:3">
      <c r="A25" s="133"/>
      <c r="B25" s="267"/>
      <c r="C25" s="126"/>
    </row>
    <row r="26" spans="1:3" ht="12.75" thickBot="1">
      <c r="A26" s="303"/>
      <c r="B26" s="304"/>
      <c r="C26" s="305"/>
    </row>
    <row r="27" spans="1:3">
      <c r="A27" s="300"/>
      <c r="B27" s="301"/>
      <c r="C27" s="302"/>
    </row>
    <row r="28" spans="1:3">
      <c r="A28" s="300"/>
      <c r="B28" s="267"/>
      <c r="C28" s="126"/>
    </row>
    <row r="29" spans="1:3">
      <c r="A29" s="133"/>
      <c r="B29" s="267"/>
      <c r="C29" s="126"/>
    </row>
    <row r="30" spans="1:3">
      <c r="A30" s="133"/>
      <c r="B30" s="267"/>
      <c r="C30" s="126"/>
    </row>
    <row r="31" spans="1:3">
      <c r="A31" s="133"/>
      <c r="B31" s="267"/>
      <c r="C31" s="126"/>
    </row>
    <row r="32" spans="1:3">
      <c r="A32" s="133"/>
      <c r="B32" s="267"/>
      <c r="C32" s="275"/>
    </row>
    <row r="33" spans="1:3">
      <c r="A33" s="133"/>
      <c r="B33" s="267"/>
      <c r="C33" s="126"/>
    </row>
    <row r="34" spans="1:3">
      <c r="A34" s="133"/>
      <c r="B34" s="267"/>
      <c r="C34" s="126"/>
    </row>
    <row r="35" spans="1:3">
      <c r="A35" s="134"/>
      <c r="B35" s="267"/>
      <c r="C35" s="126"/>
    </row>
    <row r="36" spans="1:3">
      <c r="A36" s="134"/>
      <c r="B36" s="276"/>
      <c r="C36" s="126"/>
    </row>
    <row r="37" spans="1:3">
      <c r="A37" s="134"/>
      <c r="B37" s="276"/>
      <c r="C37" s="126"/>
    </row>
    <row r="38" spans="1:3">
      <c r="A38" s="134"/>
      <c r="B38" s="276"/>
      <c r="C38" s="126"/>
    </row>
    <row r="39" spans="1:3">
      <c r="A39" s="134"/>
      <c r="B39" s="276"/>
      <c r="C39" s="126"/>
    </row>
    <row r="40" spans="1:3">
      <c r="A40" s="133"/>
      <c r="B40" s="276"/>
      <c r="C40" s="126"/>
    </row>
    <row r="41" spans="1:3">
      <c r="A41" s="134"/>
      <c r="B41" s="276"/>
      <c r="C41" s="126"/>
    </row>
    <row r="42" spans="1:3">
      <c r="A42" s="134"/>
      <c r="B42" s="276"/>
      <c r="C42" s="126"/>
    </row>
    <row r="43" spans="1:3">
      <c r="A43" s="134"/>
      <c r="B43" s="276"/>
      <c r="C43" s="126"/>
    </row>
    <row r="44" spans="1:3">
      <c r="A44" s="134"/>
      <c r="B44" s="267"/>
      <c r="C44" s="126"/>
    </row>
    <row r="45" spans="1:3">
      <c r="A45" s="134"/>
      <c r="B45" s="267"/>
      <c r="C45" s="126"/>
    </row>
    <row r="46" spans="1:3">
      <c r="A46" s="134"/>
      <c r="B46" s="267"/>
      <c r="C46" s="126"/>
    </row>
    <row r="47" spans="1:3">
      <c r="A47" s="134"/>
      <c r="B47" s="267"/>
      <c r="C47" s="126"/>
    </row>
    <row r="48" spans="1:3">
      <c r="A48" s="134"/>
      <c r="B48" s="267"/>
      <c r="C48" s="126"/>
    </row>
    <row r="49" spans="1:3">
      <c r="A49" s="134"/>
      <c r="B49" s="267"/>
      <c r="C49" s="126"/>
    </row>
    <row r="50" spans="1:3">
      <c r="A50" s="134"/>
      <c r="B50" s="267"/>
      <c r="C50" s="126"/>
    </row>
    <row r="51" spans="1:3">
      <c r="A51" s="134"/>
      <c r="B51" s="267"/>
      <c r="C51" s="126"/>
    </row>
    <row r="52" spans="1:3">
      <c r="A52" s="134"/>
      <c r="B52" s="267"/>
      <c r="C52" s="126"/>
    </row>
    <row r="53" spans="1:3">
      <c r="A53" s="134"/>
      <c r="B53" s="267"/>
      <c r="C53" s="126"/>
    </row>
    <row r="54" spans="1:3">
      <c r="A54" s="134"/>
      <c r="B54" s="280"/>
      <c r="C54" s="281"/>
    </row>
    <row r="55" spans="1:3">
      <c r="A55" s="134"/>
      <c r="B55" s="267"/>
      <c r="C55" s="126"/>
    </row>
    <row r="56" spans="1:3">
      <c r="A56" s="134"/>
      <c r="B56" s="267"/>
      <c r="C56" s="126"/>
    </row>
    <row r="57" spans="1:3">
      <c r="A57" s="134"/>
      <c r="B57" s="267"/>
      <c r="C57" s="126"/>
    </row>
    <row r="58" spans="1:3">
      <c r="A58" s="134"/>
      <c r="B58" s="267"/>
      <c r="C58" s="126"/>
    </row>
    <row r="59" spans="1:3">
      <c r="A59" s="134"/>
      <c r="B59" s="267"/>
      <c r="C59" s="275"/>
    </row>
    <row r="60" spans="1:3">
      <c r="A60" s="135"/>
      <c r="B60" s="268"/>
      <c r="C60" s="127"/>
    </row>
    <row r="61" spans="1:3">
      <c r="A61" s="135"/>
      <c r="B61" s="268"/>
      <c r="C61" s="127"/>
    </row>
    <row r="62" spans="1:3">
      <c r="A62" s="135"/>
      <c r="B62" s="268"/>
      <c r="C62" s="127"/>
    </row>
    <row r="63" spans="1:3">
      <c r="A63" s="135"/>
      <c r="B63" s="268"/>
      <c r="C63" s="127"/>
    </row>
    <row r="64" spans="1:3">
      <c r="A64" s="135"/>
      <c r="B64" s="268"/>
      <c r="C64" s="127"/>
    </row>
    <row r="65" spans="1:3">
      <c r="A65" s="135"/>
      <c r="B65" s="268"/>
      <c r="C65" s="127"/>
    </row>
    <row r="66" spans="1:3">
      <c r="A66" s="135"/>
      <c r="B66" s="268"/>
      <c r="C66" s="127"/>
    </row>
    <row r="67" spans="1:3">
      <c r="A67" s="135"/>
      <c r="B67" s="268"/>
      <c r="C67" s="127"/>
    </row>
  </sheetData>
  <phoneticPr fontId="251" type="noConversion"/>
  <pageMargins left="0.70866141732283472" right="0.70866141732283472" top="0.74803149606299213" bottom="0.74803149606299213" header="0.31496062992125984" footer="0.31496062992125984"/>
  <pageSetup paperSize="8" scale="8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C000"/>
    <pageSetUpPr fitToPage="1"/>
  </sheetPr>
  <dimension ref="A1:T94"/>
  <sheetViews>
    <sheetView showGridLines="0" zoomScale="75" zoomScaleNormal="100" workbookViewId="0">
      <pane ySplit="7" topLeftCell="A64" activePane="bottomLeft" state="frozen"/>
      <selection pane="bottomLeft" activeCell="O74" sqref="O74"/>
    </sheetView>
  </sheetViews>
  <sheetFormatPr defaultRowHeight="12.4"/>
  <cols>
    <col min="1" max="1" width="8.3515625" customWidth="1"/>
    <col min="2" max="2" width="63.3515625" style="88" customWidth="1"/>
    <col min="3" max="3" width="13.3515625" customWidth="1"/>
    <col min="4" max="4" width="10.64453125" bestFit="1" customWidth="1"/>
    <col min="5" max="5" width="10.87890625" bestFit="1" customWidth="1"/>
    <col min="6" max="8" width="9.1171875" customWidth="1"/>
    <col min="9" max="9" width="2.64453125" customWidth="1"/>
    <col min="10" max="11" width="13.76171875" customWidth="1"/>
    <col min="12" max="12" width="5.1171875" customWidth="1"/>
    <col min="16" max="16" width="10.46875" bestFit="1" customWidth="1"/>
  </cols>
  <sheetData>
    <row r="1" spans="1:20" ht="20.65">
      <c r="A1" s="777" t="s">
        <v>190</v>
      </c>
      <c r="B1" s="396"/>
      <c r="C1" s="397"/>
      <c r="D1" s="397"/>
      <c r="E1" s="397"/>
      <c r="F1" s="397"/>
      <c r="G1" s="398"/>
      <c r="H1" s="398"/>
      <c r="I1" s="399"/>
      <c r="J1" s="399"/>
      <c r="K1" s="399"/>
      <c r="L1" s="781" t="s">
        <v>157</v>
      </c>
    </row>
    <row r="2" spans="1:20" ht="20.65">
      <c r="A2" s="295" t="str">
        <f>Licensee</f>
        <v>Cadent-NW</v>
      </c>
      <c r="B2" s="298"/>
      <c r="C2" s="290"/>
      <c r="D2" s="290"/>
      <c r="E2" s="290"/>
      <c r="F2" s="290"/>
      <c r="G2" s="16"/>
      <c r="H2" s="16"/>
      <c r="I2" s="15"/>
      <c r="J2" s="15"/>
      <c r="K2" s="15"/>
      <c r="L2" s="65"/>
    </row>
    <row r="3" spans="1:20" ht="20.65">
      <c r="A3" s="290">
        <f>Reporting_Year</f>
        <v>2022</v>
      </c>
      <c r="B3" s="16" t="str">
        <f>IF(Licensee=Data!$B$78,"Only required to be completed to show Operational Performance",IF(Licensee=Data!$B$81,"not required to be completed",""))</f>
        <v/>
      </c>
      <c r="C3" s="16"/>
      <c r="D3" s="16"/>
      <c r="E3" s="16"/>
      <c r="F3" s="16"/>
      <c r="G3" s="16"/>
      <c r="H3" s="577"/>
      <c r="I3" s="578"/>
      <c r="J3" s="578"/>
      <c r="K3" s="578"/>
      <c r="L3" s="119"/>
    </row>
    <row r="4" spans="1:20" ht="12.75" customHeight="1"/>
    <row r="5" spans="1:20">
      <c r="D5" s="153" t="str">
        <f t="shared" ref="D5:H5" si="0">IF(D6&lt;=Reporting_Year,"Actuals","Forecast")</f>
        <v>Actuals</v>
      </c>
      <c r="E5" s="153" t="str">
        <f t="shared" si="0"/>
        <v>Forecast</v>
      </c>
      <c r="F5" s="153" t="str">
        <f t="shared" si="0"/>
        <v>Forecast</v>
      </c>
      <c r="G5" s="153" t="str">
        <f t="shared" si="0"/>
        <v>Forecast</v>
      </c>
      <c r="H5" s="153" t="str">
        <f t="shared" si="0"/>
        <v>Forecast</v>
      </c>
      <c r="I5" s="2"/>
      <c r="J5" s="2"/>
    </row>
    <row r="6" spans="1:20" ht="31.5" customHeight="1">
      <c r="C6" s="79"/>
      <c r="D6" s="320">
        <f>RIIO_2_start_date</f>
        <v>2022</v>
      </c>
      <c r="E6" s="320">
        <f>D6+1</f>
        <v>2023</v>
      </c>
      <c r="F6" s="320">
        <f>E6+1</f>
        <v>2024</v>
      </c>
      <c r="G6" s="320">
        <f t="shared" ref="G6:H6" si="1">F6+1</f>
        <v>2025</v>
      </c>
      <c r="H6" s="320">
        <f t="shared" si="1"/>
        <v>2026</v>
      </c>
      <c r="I6" s="27"/>
      <c r="J6" s="49" t="str">
        <f>"Cumulative to "&amp;'RFPR cover'!$C$9</f>
        <v>Cumulative to 2022</v>
      </c>
      <c r="K6" s="86" t="s">
        <v>191</v>
      </c>
    </row>
    <row r="7" spans="1:20">
      <c r="C7" s="79"/>
      <c r="D7" s="42" t="str">
        <f>RIIO_2_start_date-1&amp;"/"&amp;RIGHT(RIIO_2_start_date,2)</f>
        <v>2021/22</v>
      </c>
      <c r="E7" s="42" t="str">
        <f>RIIO_2_start_date&amp;"/"&amp;RIGHT(RIIO_2_start_date+1,2)</f>
        <v>2022/23</v>
      </c>
      <c r="F7" s="42" t="str">
        <f>RIIO_2_start_date+1&amp;"/"&amp;RIGHT(RIIO_2_start_date+2,2)</f>
        <v>2023/24</v>
      </c>
      <c r="G7" s="42" t="str">
        <f>RIIO_2_start_date+2&amp;"/"&amp;RIGHT(RIIO_2_start_date+3,2)</f>
        <v>2024/25</v>
      </c>
      <c r="H7" s="42" t="str">
        <f>RIIO_2_start_date+3&amp;"/"&amp;RIGHT(RIIO_2_start_date+4,2)</f>
        <v>2025/26</v>
      </c>
      <c r="I7" s="79"/>
      <c r="J7" s="79"/>
      <c r="K7" s="79"/>
      <c r="L7" s="79"/>
    </row>
    <row r="8" spans="1:20">
      <c r="C8" s="88"/>
      <c r="D8" s="88"/>
      <c r="E8" s="88"/>
      <c r="F8" s="88"/>
      <c r="G8" s="88"/>
      <c r="H8" s="88"/>
      <c r="I8" s="88"/>
      <c r="J8" s="88"/>
      <c r="K8" s="88"/>
      <c r="L8" s="88"/>
      <c r="M8" s="88"/>
      <c r="N8" s="88"/>
      <c r="O8" s="88"/>
      <c r="P8" s="88"/>
      <c r="Q8" s="88"/>
      <c r="R8" s="88"/>
      <c r="S8" s="88"/>
      <c r="T8" s="88"/>
    </row>
    <row r="9" spans="1:20">
      <c r="B9" s="189" t="s">
        <v>192</v>
      </c>
      <c r="C9" s="98"/>
      <c r="D9" s="98"/>
      <c r="E9" s="98"/>
      <c r="F9" s="98"/>
      <c r="G9" s="98"/>
      <c r="H9" s="98"/>
      <c r="I9" s="190"/>
      <c r="J9" s="98"/>
      <c r="K9" s="98"/>
      <c r="L9" s="98"/>
    </row>
    <row r="10" spans="1:20">
      <c r="B10" s="89"/>
      <c r="I10" s="27"/>
    </row>
    <row r="11" spans="1:20">
      <c r="B11" s="456" t="s">
        <v>193</v>
      </c>
      <c r="C11" s="455" t="s">
        <v>194</v>
      </c>
      <c r="D11" s="179">
        <f>IFERROR(Equity_Return_on_the_RAV/NPV_neutral_equity_element_of_RAV,0)</f>
        <v>4.5181881000000007E-2</v>
      </c>
      <c r="E11" s="179">
        <f>IFERROR(Equity_Return_on_the_RAV/NPV_neutral_equity_element_of_RAV,0)</f>
        <v>4.5568105000000005E-2</v>
      </c>
      <c r="F11" s="179">
        <f>IFERROR(Equity_Return_on_the_RAV/NPV_neutral_equity_element_of_RAV,0)</f>
        <v>4.5399131999999995E-2</v>
      </c>
      <c r="G11" s="179">
        <f>IFERROR(Equity_Return_on_the_RAV/NPV_neutral_equity_element_of_RAV,0)</f>
        <v>4.564052200000001E-2</v>
      </c>
      <c r="H11" s="179">
        <f>IFERROR(Equity_Return_on_the_RAV/NPV_neutral_equity_element_of_RAV,0)</f>
        <v>4.5833633999999998E-2</v>
      </c>
      <c r="I11" s="80"/>
      <c r="J11" s="180">
        <f>IFERROR(AVERAGE(D65:INDEX(D65:H65,0,MATCH('RFPR cover'!$C$9,$D$6:$H$6,0)))/AVERAGE($D$90:INDEX($D$90:$H$90,0,MATCH('RFPR cover'!$C$9,$D$6:$H$6,0))),0)</f>
        <v>4.5181881000000007E-2</v>
      </c>
      <c r="K11" s="180">
        <f t="shared" ref="K11:K17" si="2">IFERROR(AVERAGE(D65:H65)/AVERAGE($D$90:$H$90),0)</f>
        <v>4.5526557166726947E-2</v>
      </c>
    </row>
    <row r="12" spans="1:20">
      <c r="B12" s="456" t="str">
        <f t="shared" ref="B12:B18" si="3">B66</f>
        <v>Totex outperformance</v>
      </c>
      <c r="C12" s="455" t="s">
        <v>194</v>
      </c>
      <c r="D12" s="330">
        <f>IFERROR(Totex_outperformance/NPV_neutral_equity_element_of_RAV,0)</f>
        <v>2.1429429683886706E-3</v>
      </c>
      <c r="E12" s="330">
        <f>IFERROR(Totex_outperformance/NPV_neutral_equity_element_of_RAV,0)</f>
        <v>1.8459907172979986E-3</v>
      </c>
      <c r="F12" s="330">
        <f>IFERROR(Totex_outperformance/NPV_neutral_equity_element_of_RAV,0)</f>
        <v>5.0782303052655207E-3</v>
      </c>
      <c r="G12" s="330">
        <f>IFERROR(Totex_outperformance/NPV_neutral_equity_element_of_RAV,0)</f>
        <v>-3.0306711137947326E-4</v>
      </c>
      <c r="H12" s="330">
        <f>IFERROR(Totex_outperformance/NPV_neutral_equity_element_of_RAV,0)</f>
        <v>1.5386123441397205E-4</v>
      </c>
      <c r="I12" s="80"/>
      <c r="J12" s="180">
        <f>IFERROR(AVERAGE(D66:INDEX(D66:H66,0,MATCH('RFPR cover'!$C$9,$D$6:$H$6,0)))/AVERAGE($D$90:INDEX($D$90:$H$90,0,MATCH('RFPR cover'!$C$9,$D$6:$H$6,0))),0)</f>
        <v>2.1429429683886706E-3</v>
      </c>
      <c r="K12" s="180">
        <f t="shared" si="2"/>
        <v>1.7784826727807246E-3</v>
      </c>
      <c r="M12" s="80"/>
    </row>
    <row r="13" spans="1:20">
      <c r="A13" s="78" t="s">
        <v>195</v>
      </c>
      <c r="B13" s="456" t="str">
        <f t="shared" si="3"/>
        <v>Business Plan Incentive</v>
      </c>
      <c r="C13" s="455" t="s">
        <v>194</v>
      </c>
      <c r="D13" s="330">
        <f>IFERROR(Business_Plan_Incentive/NPV_neutral_equity_element_of_RAV,0)</f>
        <v>-7.9473280792787476E-6</v>
      </c>
      <c r="E13" s="330">
        <f>IFERROR(Business_Plan_Incentive/NPV_neutral_equity_element_of_RAV,0)</f>
        <v>-7.8310715569210365E-6</v>
      </c>
      <c r="F13" s="330">
        <f>IFERROR(Business_Plan_Incentive/NPV_neutral_equity_element_of_RAV,0)</f>
        <v>-7.759204257131079E-6</v>
      </c>
      <c r="G13" s="330">
        <f>IFERROR(Business_Plan_Incentive/NPV_neutral_equity_element_of_RAV,0)</f>
        <v>-7.7220040685034127E-6</v>
      </c>
      <c r="H13" s="330">
        <f>IFERROR(Business_Plan_Incentive/NPV_neutral_equity_element_of_RAV,0)</f>
        <v>-7.7293726690493896E-6</v>
      </c>
      <c r="I13" s="80"/>
      <c r="J13" s="180">
        <f>IFERROR(AVERAGE(D67:INDEX(D67:H67,0,MATCH('RFPR cover'!$C$9,$D$6:$H$6,0)))/AVERAGE($D$90:INDEX($D$90:$H$90,0,MATCH('RFPR cover'!$C$9,$D$6:$H$6,0))),0)</f>
        <v>-7.9473280792787476E-6</v>
      </c>
      <c r="K13" s="180">
        <f t="shared" si="2"/>
        <v>-7.7968969394104339E-6</v>
      </c>
    </row>
    <row r="14" spans="1:20">
      <c r="A14" s="78" t="s">
        <v>196</v>
      </c>
      <c r="B14" s="456" t="str">
        <f t="shared" si="3"/>
        <v>Customer Satisfaction Survey ODI</v>
      </c>
      <c r="C14" s="455" t="s">
        <v>194</v>
      </c>
      <c r="D14" s="330">
        <f>IFERROR(ODI_1/NPV_neutral_equity_element_of_RAV,0)</f>
        <v>1.6269157570926748E-3</v>
      </c>
      <c r="E14" s="330">
        <f>IFERROR(ODI_1/NPV_neutral_equity_element_of_RAV,0)</f>
        <v>1.6283710395133737E-3</v>
      </c>
      <c r="F14" s="330">
        <f>IFERROR(ODI_1/NPV_neutral_equity_element_of_RAV,0)</f>
        <v>1.8993819206456388E-3</v>
      </c>
      <c r="G14" s="330">
        <f>IFERROR(ODI_1/NPV_neutral_equity_element_of_RAV,0)</f>
        <v>2.0189331616135924E-3</v>
      </c>
      <c r="H14" s="330">
        <f>IFERROR(ODI_1/NPV_neutral_equity_element_of_RAV,0)</f>
        <v>2.0208596967286972E-3</v>
      </c>
      <c r="I14" s="80"/>
      <c r="J14" s="180">
        <f>IFERROR(AVERAGE(D68:INDEX(D68:H68,0,MATCH('RFPR cover'!$C$9,$D$6:$H$6,0)))/AVERAGE($D$90:INDEX($D$90:$H$90,0,MATCH('RFPR cover'!$C$9,$D$6:$H$6,0))),0)</f>
        <v>1.6269157570926748E-3</v>
      </c>
      <c r="K14" s="180">
        <f t="shared" si="2"/>
        <v>1.8406044724292648E-3</v>
      </c>
    </row>
    <row r="15" spans="1:20">
      <c r="A15" s="78" t="s">
        <v>197</v>
      </c>
      <c r="B15" s="456" t="str">
        <f t="shared" si="3"/>
        <v>Complaints metric ODI</v>
      </c>
      <c r="C15" s="455" t="s">
        <v>194</v>
      </c>
      <c r="D15" s="330">
        <f>IFERROR(ODI_2/NPV_neutral_equity_element_of_RAV,0)</f>
        <v>0</v>
      </c>
      <c r="E15" s="330">
        <f>IFERROR(ODI_2/NPV_neutral_equity_element_of_RAV,0)</f>
        <v>0</v>
      </c>
      <c r="F15" s="330">
        <f>IFERROR(ODI_2/NPV_neutral_equity_element_of_RAV,0)</f>
        <v>0</v>
      </c>
      <c r="G15" s="330">
        <f>IFERROR(ODI_2/NPV_neutral_equity_element_of_RAV,0)</f>
        <v>0</v>
      </c>
      <c r="H15" s="330">
        <f>IFERROR(ODI_2/NPV_neutral_equity_element_of_RAV,0)</f>
        <v>0</v>
      </c>
      <c r="I15" s="80"/>
      <c r="J15" s="180">
        <f>IFERROR(AVERAGE(D69:INDEX(D69:H69,0,MATCH('RFPR cover'!$C$9,$D$6:$H$6,0)))/AVERAGE($D$90:INDEX($D$90:$H$90,0,MATCH('RFPR cover'!$C$9,$D$6:$H$6,0))),0)</f>
        <v>0</v>
      </c>
      <c r="K15" s="180">
        <f t="shared" si="2"/>
        <v>0</v>
      </c>
    </row>
    <row r="16" spans="1:20">
      <c r="A16" s="78" t="s">
        <v>198</v>
      </c>
      <c r="B16" s="456" t="str">
        <f t="shared" si="3"/>
        <v>Unplanned Interruption Mean Duration ODI [NGN, SGN and WWU]</v>
      </c>
      <c r="C16" s="455" t="s">
        <v>194</v>
      </c>
      <c r="D16" s="330">
        <f>IFERROR(ODI_3/NPV_neutral_equity_element_of_RAV,0)</f>
        <v>0</v>
      </c>
      <c r="E16" s="330">
        <f>IFERROR(ODI_3/NPV_neutral_equity_element_of_RAV,0)</f>
        <v>0</v>
      </c>
      <c r="F16" s="330">
        <f>IFERROR(ODI_3/NPV_neutral_equity_element_of_RAV,0)</f>
        <v>0</v>
      </c>
      <c r="G16" s="330">
        <f>IFERROR(ODI_3/NPV_neutral_equity_element_of_RAV,0)</f>
        <v>0</v>
      </c>
      <c r="H16" s="330">
        <f>IFERROR(ODI_3/NPV_neutral_equity_element_of_RAV,0)</f>
        <v>0</v>
      </c>
      <c r="I16" s="80"/>
      <c r="J16" s="180">
        <f>IFERROR(AVERAGE(D70:INDEX(D70:H70,0,MATCH('RFPR cover'!$C$9,$D$6:$H$6,0)))/AVERAGE($D$90:INDEX($D$90:$H$90,0,MATCH('RFPR cover'!$C$9,$D$6:$H$6,0))),0)</f>
        <v>0</v>
      </c>
      <c r="K16" s="180">
        <f t="shared" si="2"/>
        <v>0</v>
      </c>
    </row>
    <row r="17" spans="1:11">
      <c r="A17" s="78" t="s">
        <v>199</v>
      </c>
      <c r="B17" s="456" t="str">
        <f t="shared" si="3"/>
        <v>Unplanned Interruption Mean Duration ODI [Cadent only]</v>
      </c>
      <c r="C17" s="455" t="s">
        <v>194</v>
      </c>
      <c r="D17" s="330">
        <f>IFERROR(ODI_4/NPV_neutral_equity_element_of_RAV,0)</f>
        <v>0</v>
      </c>
      <c r="E17" s="330">
        <f>IFERROR(ODI_4/NPV_neutral_equity_element_of_RAV,0)</f>
        <v>0</v>
      </c>
      <c r="F17" s="330">
        <f>IFERROR(ODI_4/NPV_neutral_equity_element_of_RAV,0)</f>
        <v>0</v>
      </c>
      <c r="G17" s="330">
        <f>IFERROR(ODI_4/NPV_neutral_equity_element_of_RAV,0)</f>
        <v>0</v>
      </c>
      <c r="H17" s="330">
        <f>IFERROR(ODI_4/NPV_neutral_equity_element_of_RAV,0)</f>
        <v>0</v>
      </c>
      <c r="I17" s="80"/>
      <c r="J17" s="180">
        <f>IFERROR(AVERAGE(D71:INDEX(D71:H71,0,MATCH('RFPR cover'!$C$9,$D$6:$H$6,0)))/AVERAGE($D$90:INDEX($D$90:$H$90,0,MATCH('RFPR cover'!$C$9,$D$6:$H$6,0))),0)</f>
        <v>0</v>
      </c>
      <c r="K17" s="180">
        <f t="shared" si="2"/>
        <v>0</v>
      </c>
    </row>
    <row r="18" spans="1:11">
      <c r="A18" s="78" t="s">
        <v>200</v>
      </c>
      <c r="B18" s="456" t="str">
        <f t="shared" si="3"/>
        <v>Shrinkage Management ODI</v>
      </c>
      <c r="C18" s="455" t="s">
        <v>194</v>
      </c>
      <c r="D18" s="330">
        <f>IFERROR(ODI_5/NPV_neutral_equity_element_of_RAV,0)</f>
        <v>5.1946114192440434E-4</v>
      </c>
      <c r="E18" s="330">
        <f>IFERROR(ODI_5/NPV_neutral_equity_element_of_RAV,0)</f>
        <v>5.1186226777982812E-4</v>
      </c>
      <c r="F18" s="330">
        <f>IFERROR(ODI_5/NPV_neutral_equity_element_of_RAV,0)</f>
        <v>5.0716480603627033E-4</v>
      </c>
      <c r="G18" s="330">
        <f>IFERROR(ODI_5/NPV_neutral_equity_element_of_RAV,0)</f>
        <v>4.9422535688157512E-4</v>
      </c>
      <c r="H18" s="330">
        <f>IFERROR(ODI_5/NPV_neutral_equity_element_of_RAV,0)</f>
        <v>4.580735480981994E-4</v>
      </c>
      <c r="I18" s="80"/>
      <c r="J18" s="180">
        <f>IFERROR(AVERAGE(D72:INDEX(D72:H72,0,MATCH('RFPR cover'!$C$9,$D$6:$H$6,0)))/AVERAGE($D$90:INDEX($D$90:$H$90,0,MATCH('RFPR cover'!$C$9,$D$6:$H$6,0))),0)</f>
        <v>5.1946114192440434E-4</v>
      </c>
      <c r="K18" s="180">
        <f t="shared" ref="K18:K27" si="4">IFERROR(AVERAGE(D72:H72)/AVERAGE($D$90:$H$90),0)</f>
        <v>4.9799590210539146E-4</v>
      </c>
    </row>
    <row r="19" spans="1:11">
      <c r="A19" s="78" t="s">
        <v>201</v>
      </c>
      <c r="B19" s="456" t="str">
        <f>B73</f>
        <v>Collaborative streetworks ODI [Cadent Lon &amp; EoE, SGN So only]</v>
      </c>
      <c r="C19" s="455" t="s">
        <v>194</v>
      </c>
      <c r="D19" s="330">
        <f>IFERROR(ODI_6/NPV_neutral_equity_element_of_RAV,0)</f>
        <v>0</v>
      </c>
      <c r="E19" s="330">
        <f>IFERROR(ODI_6/NPV_neutral_equity_element_of_RAV,0)</f>
        <v>0</v>
      </c>
      <c r="F19" s="330">
        <f>IFERROR(ODI_6/NPV_neutral_equity_element_of_RAV,0)</f>
        <v>0</v>
      </c>
      <c r="G19" s="330">
        <f>IFERROR(ODI_6/NPV_neutral_equity_element_of_RAV,0)</f>
        <v>0</v>
      </c>
      <c r="H19" s="330">
        <f>IFERROR(ODI_6/NPV_neutral_equity_element_of_RAV,0)</f>
        <v>0</v>
      </c>
      <c r="I19" s="80"/>
      <c r="J19" s="180">
        <f>IFERROR(AVERAGE(D73:INDEX(D73:H73,0,MATCH('RFPR cover'!$C$9,$D$6:$H$6,0)))/AVERAGE($D$90:INDEX($D$90:$H$90,0,MATCH('RFPR cover'!$C$9,$D$6:$H$6,0))),0)</f>
        <v>0</v>
      </c>
      <c r="K19" s="180">
        <f t="shared" si="4"/>
        <v>0</v>
      </c>
    </row>
    <row r="20" spans="1:11">
      <c r="A20" s="78" t="s">
        <v>202</v>
      </c>
      <c r="B20" s="456" t="str">
        <f t="shared" ref="B20" si="5">B74</f>
        <v>Network innovation input for RORE</v>
      </c>
      <c r="C20" s="455" t="s">
        <v>194</v>
      </c>
      <c r="D20" s="330">
        <f>IFERROR(ORA_1/NPV_neutral_equity_element_of_RAV,0)</f>
        <v>-4.7388442386870159E-5</v>
      </c>
      <c r="E20" s="330">
        <f>IFERROR(ORA_1/NPV_neutral_equity_element_of_RAV,0)</f>
        <v>-2.0241533497160902E-4</v>
      </c>
      <c r="F20" s="330">
        <f>IFERROR(ORA_1/NPV_neutral_equity_element_of_RAV,0)</f>
        <v>-2.3275691433289602E-4</v>
      </c>
      <c r="G20" s="330">
        <f>IFERROR(ORA_1/NPV_neutral_equity_element_of_RAV,0)</f>
        <v>-2.316410007893623E-4</v>
      </c>
      <c r="H20" s="330">
        <f>IFERROR(ORA_1/NPV_neutral_equity_element_of_RAV,0)</f>
        <v>-2.3186204055957542E-4</v>
      </c>
      <c r="I20" s="80"/>
      <c r="J20" s="180">
        <f>IFERROR(AVERAGE(D74:INDEX(D74:H74,0,MATCH('RFPR cover'!$C$9,$D$6:$H$6,0)))/AVERAGE($D$90:INDEX($D$90:$H$90,0,MATCH('RFPR cover'!$C$9,$D$6:$H$6,0))),0)</f>
        <v>-4.7388442386870159E-5</v>
      </c>
      <c r="K20" s="180">
        <f t="shared" si="4"/>
        <v>-1.8993725057765497E-4</v>
      </c>
    </row>
    <row r="21" spans="1:11">
      <c r="A21" s="78" t="s">
        <v>203</v>
      </c>
      <c r="B21" s="456" t="str">
        <f t="shared" ref="B21" si="6">B75</f>
        <v>Carry-over Network innovation input for RORE</v>
      </c>
      <c r="C21" s="455" t="s">
        <v>194</v>
      </c>
      <c r="D21" s="330">
        <f>IFERROR(ORA_2/NPV_neutral_equity_element_of_RAV,0)</f>
        <v>-8.3677022544745305E-5</v>
      </c>
      <c r="E21" s="330">
        <f>IFERROR(ORA_2/NPV_neutral_equity_element_of_RAV,0)</f>
        <v>0</v>
      </c>
      <c r="F21" s="330">
        <f>IFERROR(ORA_2/NPV_neutral_equity_element_of_RAV,0)</f>
        <v>0</v>
      </c>
      <c r="G21" s="330">
        <f>IFERROR(ORA_2/NPV_neutral_equity_element_of_RAV,0)</f>
        <v>0</v>
      </c>
      <c r="H21" s="330">
        <f>IFERROR(ORA_2/NPV_neutral_equity_element_of_RAV,0)</f>
        <v>0</v>
      </c>
      <c r="I21" s="80"/>
      <c r="J21" s="180">
        <f>IFERROR(AVERAGE(D75:INDEX(D75:H75,0,MATCH('RFPR cover'!$C$9,$D$6:$H$6,0)))/AVERAGE($D$90:INDEX($D$90:$H$90,0,MATCH('RFPR cover'!$C$9,$D$6:$H$6,0))),0)</f>
        <v>-8.3677022544745305E-5</v>
      </c>
      <c r="K21" s="180">
        <f t="shared" si="4"/>
        <v>-1.641862810921762E-5</v>
      </c>
    </row>
    <row r="22" spans="1:11">
      <c r="A22" s="78" t="s">
        <v>204</v>
      </c>
      <c r="B22" s="456" t="str">
        <f t="shared" ref="B22:B27" si="7">B76</f>
        <v>Strategic innovation input for RORE</v>
      </c>
      <c r="C22" s="455" t="s">
        <v>194</v>
      </c>
      <c r="D22" s="330">
        <f>IFERROR(ORA_3/NPV_neutral_equity_element_of_RAV,0)</f>
        <v>0</v>
      </c>
      <c r="E22" s="330">
        <f>IFERROR(ORA_3/NPV_neutral_equity_element_of_RAV,0)</f>
        <v>0</v>
      </c>
      <c r="F22" s="330">
        <f>IFERROR(ORA_3/NPV_neutral_equity_element_of_RAV,0)</f>
        <v>0</v>
      </c>
      <c r="G22" s="330">
        <f>IFERROR(ORA_3/NPV_neutral_equity_element_of_RAV,0)</f>
        <v>0</v>
      </c>
      <c r="H22" s="330">
        <f>IFERROR(ORA_3/NPV_neutral_equity_element_of_RAV,0)</f>
        <v>0</v>
      </c>
      <c r="I22" s="80"/>
      <c r="J22" s="180">
        <f>IFERROR(AVERAGE(D76:INDEX(D76:H76,0,MATCH('RFPR cover'!$C$9,$D$6:$H$6,0)))/AVERAGE($D$90:INDEX($D$90:$H$90,0,MATCH('RFPR cover'!$C$9,$D$6:$H$6,0))),0)</f>
        <v>0</v>
      </c>
      <c r="K22" s="180">
        <f t="shared" si="4"/>
        <v>0</v>
      </c>
    </row>
    <row r="23" spans="1:11">
      <c r="A23" s="78" t="s">
        <v>205</v>
      </c>
      <c r="B23" s="456" t="str">
        <f t="shared" si="7"/>
        <v/>
      </c>
      <c r="C23" s="455" t="s">
        <v>194</v>
      </c>
      <c r="D23" s="330">
        <f>IFERROR(ORA_4/NPV_neutral_equity_element_of_RAV,0)</f>
        <v>0</v>
      </c>
      <c r="E23" s="330">
        <f>IFERROR(ORA_4/NPV_neutral_equity_element_of_RAV,0)</f>
        <v>0</v>
      </c>
      <c r="F23" s="330">
        <f>IFERROR(ORA_4/NPV_neutral_equity_element_of_RAV,0)</f>
        <v>0</v>
      </c>
      <c r="G23" s="330">
        <f>IFERROR(ORA_4/NPV_neutral_equity_element_of_RAV,0)</f>
        <v>0</v>
      </c>
      <c r="H23" s="330">
        <f>IFERROR(ORA_4/NPV_neutral_equity_element_of_RAV,0)</f>
        <v>0</v>
      </c>
      <c r="I23" s="80"/>
      <c r="J23" s="180">
        <f>IFERROR(AVERAGE(D77:INDEX(D77:H77,0,MATCH('RFPR cover'!$C$9,$D$6:$H$6,0)))/AVERAGE($D$90:INDEX($D$90:$H$90,0,MATCH('RFPR cover'!$C$9,$D$6:$H$6,0))),0)</f>
        <v>0</v>
      </c>
      <c r="K23" s="180">
        <f t="shared" si="4"/>
        <v>0</v>
      </c>
    </row>
    <row r="24" spans="1:11">
      <c r="A24" s="78" t="s">
        <v>206</v>
      </c>
      <c r="B24" s="456" t="str">
        <f t="shared" si="7"/>
        <v/>
      </c>
      <c r="C24" s="455" t="s">
        <v>194</v>
      </c>
      <c r="D24" s="330">
        <f>IFERROR(ORA_5/NPV_neutral_equity_element_of_RAV,0)</f>
        <v>0</v>
      </c>
      <c r="E24" s="330">
        <f>IFERROR(ORA_5/NPV_neutral_equity_element_of_RAV,0)</f>
        <v>0</v>
      </c>
      <c r="F24" s="330">
        <f>IFERROR(ORA_5/NPV_neutral_equity_element_of_RAV,0)</f>
        <v>0</v>
      </c>
      <c r="G24" s="330">
        <f>IFERROR(ORA_5/NPV_neutral_equity_element_of_RAV,0)</f>
        <v>0</v>
      </c>
      <c r="H24" s="330">
        <f>IFERROR(ORA_5/NPV_neutral_equity_element_of_RAV,0)</f>
        <v>0</v>
      </c>
      <c r="I24" s="80"/>
      <c r="J24" s="180">
        <f>IFERROR(AVERAGE(D78:INDEX(D78:H78,0,MATCH('RFPR cover'!$C$9,$D$6:$H$6,0)))/AVERAGE($D$90:INDEX($D$90:$H$90,0,MATCH('RFPR cover'!$C$9,$D$6:$H$6,0))),0)</f>
        <v>0</v>
      </c>
      <c r="K24" s="180">
        <f t="shared" si="4"/>
        <v>0</v>
      </c>
    </row>
    <row r="25" spans="1:11">
      <c r="A25" s="78" t="s">
        <v>207</v>
      </c>
      <c r="B25" s="456" t="str">
        <f t="shared" si="7"/>
        <v/>
      </c>
      <c r="C25" s="455" t="s">
        <v>194</v>
      </c>
      <c r="D25" s="330">
        <f>IFERROR(ORA_6/NPV_neutral_equity_element_of_RAV,0)</f>
        <v>0</v>
      </c>
      <c r="E25" s="330">
        <f>IFERROR(ORA_6/NPV_neutral_equity_element_of_RAV,0)</f>
        <v>0</v>
      </c>
      <c r="F25" s="330">
        <f>IFERROR(ORA_6/NPV_neutral_equity_element_of_RAV,0)</f>
        <v>0</v>
      </c>
      <c r="G25" s="330">
        <f>IFERROR(ORA_6/NPV_neutral_equity_element_of_RAV,0)</f>
        <v>0</v>
      </c>
      <c r="H25" s="330">
        <f>IFERROR(ORA_6/NPV_neutral_equity_element_of_RAV,0)</f>
        <v>0</v>
      </c>
      <c r="I25" s="80"/>
      <c r="J25" s="180">
        <f>IFERROR(AVERAGE(D79:INDEX(D79:H79,0,MATCH('RFPR cover'!$C$9,$D$6:$H$6,0)))/AVERAGE($D$90:INDEX($D$90:$H$90,0,MATCH('RFPR cover'!$C$9,$D$6:$H$6,0))),0)</f>
        <v>0</v>
      </c>
      <c r="K25" s="180">
        <f t="shared" si="4"/>
        <v>0</v>
      </c>
    </row>
    <row r="26" spans="1:11">
      <c r="A26" s="78" t="s">
        <v>208</v>
      </c>
      <c r="B26" s="456" t="str">
        <f t="shared" si="7"/>
        <v/>
      </c>
      <c r="C26" s="455" t="s">
        <v>194</v>
      </c>
      <c r="D26" s="330">
        <f>IFERROR(ORA_7/NPV_neutral_equity_element_of_RAV,0)</f>
        <v>0</v>
      </c>
      <c r="E26" s="330">
        <f>IFERROR(ORA_7/NPV_neutral_equity_element_of_RAV,0)</f>
        <v>0</v>
      </c>
      <c r="F26" s="330">
        <f>IFERROR(ORA_7/NPV_neutral_equity_element_of_RAV,0)</f>
        <v>0</v>
      </c>
      <c r="G26" s="330">
        <f>IFERROR(ORA_7/NPV_neutral_equity_element_of_RAV,0)</f>
        <v>0</v>
      </c>
      <c r="H26" s="330">
        <f>IFERROR(ORA_7/NPV_neutral_equity_element_of_RAV,0)</f>
        <v>0</v>
      </c>
      <c r="I26" s="80"/>
      <c r="J26" s="180">
        <f>IFERROR(AVERAGE(D80:INDEX(D80:H80,0,MATCH('RFPR cover'!$C$9,$D$6:$H$6,0)))/AVERAGE($D$90:INDEX($D$90:$H$90,0,MATCH('RFPR cover'!$C$9,$D$6:$H$6,0))),0)</f>
        <v>0</v>
      </c>
      <c r="K26" s="180">
        <f t="shared" si="4"/>
        <v>0</v>
      </c>
    </row>
    <row r="27" spans="1:11">
      <c r="A27" s="78" t="s">
        <v>209</v>
      </c>
      <c r="B27" s="456" t="str">
        <f t="shared" si="7"/>
        <v/>
      </c>
      <c r="C27" s="455" t="s">
        <v>194</v>
      </c>
      <c r="D27" s="330">
        <f>IFERROR(ORA_8/NPV_neutral_equity_element_of_RAV,0)</f>
        <v>0</v>
      </c>
      <c r="E27" s="330">
        <f>IFERROR(ORA_8/NPV_neutral_equity_element_of_RAV,0)</f>
        <v>0</v>
      </c>
      <c r="F27" s="330">
        <f>IFERROR(ORA_8/NPV_neutral_equity_element_of_RAV,0)</f>
        <v>0</v>
      </c>
      <c r="G27" s="330">
        <f>IFERROR(ORA_8/NPV_neutral_equity_element_of_RAV,0)</f>
        <v>0</v>
      </c>
      <c r="H27" s="330">
        <f>IFERROR(ORA_8/NPV_neutral_equity_element_of_RAV,0)</f>
        <v>0</v>
      </c>
      <c r="I27" s="80"/>
      <c r="J27" s="180">
        <f>IFERROR(AVERAGE(D81:INDEX(D81:H81,0,MATCH('RFPR cover'!$C$9,$D$6:$H$6,0)))/AVERAGE($D$90:INDEX($D$90:$H$90,0,MATCH('RFPR cover'!$C$9,$D$6:$H$6,0))),0)</f>
        <v>0</v>
      </c>
      <c r="K27" s="180">
        <f t="shared" si="4"/>
        <v>0</v>
      </c>
    </row>
    <row r="28" spans="1:11" ht="12.75" thickBot="1">
      <c r="B28" s="456" t="str">
        <f t="shared" ref="B28:B30" si="8">B82</f>
        <v>Penalties and fines (Other Activities)</v>
      </c>
      <c r="C28" s="455" t="s">
        <v>194</v>
      </c>
      <c r="D28" s="438">
        <f>IFERROR(Penalties_and_fines/NPV_neutral_equity_element_of_RAV,0)</f>
        <v>-6.1259393846149464E-4</v>
      </c>
      <c r="E28" s="438">
        <f>IFERROR(Penalties_and_fines/NPV_neutral_equity_element_of_RAV,0)</f>
        <v>-5.1900401661191182E-4</v>
      </c>
      <c r="F28" s="438">
        <f>IFERROR(Penalties_and_fines/NPV_neutral_equity_element_of_RAV,0)</f>
        <v>-4.9769247197669513E-4</v>
      </c>
      <c r="G28" s="438">
        <f>IFERROR(Penalties_and_fines/NPV_neutral_equity_element_of_RAV,0)</f>
        <v>-4.8705369822474694E-4</v>
      </c>
      <c r="H28" s="438">
        <f>IFERROR(Penalties_and_fines/NPV_neutral_equity_element_of_RAV,0)</f>
        <v>-4.7837912928775706E-4</v>
      </c>
      <c r="I28" s="80"/>
      <c r="J28" s="443">
        <f>IFERROR(AVERAGE(D82:INDEX(D82:H82,0,MATCH('RFPR cover'!$C$9,$D$6:$H$6,0)))/AVERAGE($D$90:INDEX($D$90:$H$90,0,MATCH('RFPR cover'!$C$9,$D$6:$H$6,0))),0)</f>
        <v>-6.1259393846149464E-4</v>
      </c>
      <c r="K28" s="443">
        <f>IFERROR(AVERAGE(D82:H82)/AVERAGE($D$90:$H$90),0)</f>
        <v>-5.1843668658968739E-4</v>
      </c>
    </row>
    <row r="29" spans="1:11" ht="12.75" thickBot="1">
      <c r="B29" s="457" t="str">
        <f t="shared" si="8"/>
        <v>RoRE - Operational performance</v>
      </c>
      <c r="C29" s="172" t="s">
        <v>194</v>
      </c>
      <c r="D29" s="440">
        <f>SUM(D11:D28)</f>
        <v>4.8719594135933353E-2</v>
      </c>
      <c r="E29" s="441">
        <f t="shared" ref="E29:H29" si="9">SUM(E11:E28)</f>
        <v>4.8825078601450765E-2</v>
      </c>
      <c r="F29" s="441">
        <f t="shared" si="9"/>
        <v>5.2145700441380713E-2</v>
      </c>
      <c r="G29" s="441">
        <f t="shared" si="9"/>
        <v>4.7124196704033089E-2</v>
      </c>
      <c r="H29" s="442">
        <f t="shared" si="9"/>
        <v>4.7748457936724491E-2</v>
      </c>
      <c r="I29" s="81"/>
      <c r="J29" s="445">
        <f>SUM(J11:J28)</f>
        <v>4.8719594135933353E-2</v>
      </c>
      <c r="K29" s="442">
        <f>SUM(K11:K28)</f>
        <v>4.8911050751826363E-2</v>
      </c>
    </row>
    <row r="30" spans="1:11">
      <c r="B30" s="456" t="str">
        <f t="shared" si="8"/>
        <v>Debt performance - at notional gearing</v>
      </c>
      <c r="C30" s="455" t="s">
        <v>194</v>
      </c>
      <c r="D30" s="439">
        <f>IFERROR(Debt_performance___at_notional_gearing/NPV_neutral_equity_element_of_RAV,0)</f>
        <v>2.3853184547390435E-2</v>
      </c>
      <c r="E30" s="439">
        <f>IFERROR(Debt_performance___at_notional_gearing/NPV_neutral_equity_element_of_RAV,0)</f>
        <v>6.4219711518641573E-2</v>
      </c>
      <c r="F30" s="439">
        <f>IFERROR(Debt_performance___at_notional_gearing/NPV_neutral_equity_element_of_RAV,0)</f>
        <v>1.7527231859432304E-2</v>
      </c>
      <c r="G30" s="439">
        <f>IFERROR(Debt_performance___at_notional_gearing/NPV_neutral_equity_element_of_RAV,0)</f>
        <v>7.8339883838052324E-3</v>
      </c>
      <c r="H30" s="439">
        <f>IFERROR(Debt_performance___at_notional_gearing/NPV_neutral_equity_element_of_RAV,0)</f>
        <v>1.0419373865095326E-2</v>
      </c>
      <c r="I30" s="80"/>
      <c r="J30" s="444">
        <f>IFERROR(AVERAGE(D84:INDEX(D84:H84,0,MATCH('RFPR cover'!$C$9,$D$6:$H$6,0)))/AVERAGE($D$90:INDEX($D$90:$H$90,0,MATCH('RFPR cover'!$C$9,$D$6:$H$6,0))),0)</f>
        <v>2.3853184547390435E-2</v>
      </c>
      <c r="K30" s="444">
        <f>IFERROR(AVERAGE(D84:H84)/AVERAGE($D$90:$H$90),0)</f>
        <v>2.4674775695257056E-2</v>
      </c>
    </row>
    <row r="31" spans="1:11" ht="12.75" thickBot="1">
      <c r="B31" s="456" t="str">
        <f>B86</f>
        <v>Tax performance - at notional gearing</v>
      </c>
      <c r="C31" s="455" t="s">
        <v>194</v>
      </c>
      <c r="D31" s="438">
        <f>IFERROR(Tax_performance___at_notional_gearing/NPV_neutral_equity_element_of_RAV,0)</f>
        <v>-4.4531856135236704E-3</v>
      </c>
      <c r="E31" s="438">
        <f>IFERROR(Tax_performance___at_notional_gearing/NPV_neutral_equity_element_of_RAV,0)</f>
        <v>-1.9565242970026514E-2</v>
      </c>
      <c r="F31" s="438">
        <f>IFERROR(Tax_performance___at_notional_gearing/NPV_neutral_equity_element_of_RAV,0)</f>
        <v>3.7955189290011238E-3</v>
      </c>
      <c r="G31" s="438">
        <f>IFERROR(Tax_performance___at_notional_gearing/NPV_neutral_equity_element_of_RAV,0)</f>
        <v>8.0253557768605248E-4</v>
      </c>
      <c r="H31" s="438">
        <f>IFERROR(Tax_performance___at_notional_gearing/NPV_neutral_equity_element_of_RAV,0)</f>
        <v>-4.4716965558879595E-4</v>
      </c>
      <c r="I31" s="80"/>
      <c r="J31" s="85">
        <f>IFERROR(AVERAGE(D86:INDEX(D86:H86,0,MATCH('RFPR cover'!$C$9,$D$6:$H$6,0)))/AVERAGE($D$90:INDEX($D$90:$H$90,0,MATCH('RFPR cover'!$C$9,$D$6:$H$6,0))),0)</f>
        <v>-4.4531856135236704E-3</v>
      </c>
      <c r="K31" s="85">
        <f>IFERROR(AVERAGE(D86:H86)/AVERAGE($D$90:$H$90),0)</f>
        <v>-3.9351108758600749E-3</v>
      </c>
    </row>
    <row r="32" spans="1:11" ht="12.75" thickBot="1">
      <c r="B32" s="457" t="str">
        <f>B88</f>
        <v>RoRE - including financing and tax</v>
      </c>
      <c r="C32" s="172" t="s">
        <v>194</v>
      </c>
      <c r="D32" s="440">
        <f>SUM(D29:D31)</f>
        <v>6.8119593069800116E-2</v>
      </c>
      <c r="E32" s="441">
        <f t="shared" ref="E32:H32" si="10">SUM(E29:E31)</f>
        <v>9.3479547150065817E-2</v>
      </c>
      <c r="F32" s="441">
        <f t="shared" si="10"/>
        <v>7.3468451229814144E-2</v>
      </c>
      <c r="G32" s="441">
        <f t="shared" si="10"/>
        <v>5.5760720665524371E-2</v>
      </c>
      <c r="H32" s="442">
        <f t="shared" si="10"/>
        <v>5.7720662146231019E-2</v>
      </c>
      <c r="I32" s="81"/>
      <c r="J32" s="445">
        <f>SUM(J29:J31)</f>
        <v>6.8119593069800116E-2</v>
      </c>
      <c r="K32" s="442">
        <f>SUM(K29:K31)</f>
        <v>6.9650715571223348E-2</v>
      </c>
    </row>
    <row r="36" spans="1:13">
      <c r="B36" s="189" t="s">
        <v>210</v>
      </c>
      <c r="C36" s="98"/>
      <c r="D36" s="98"/>
      <c r="E36" s="98"/>
      <c r="F36" s="98"/>
      <c r="G36" s="98"/>
      <c r="H36" s="98"/>
      <c r="I36" s="190"/>
      <c r="J36" s="98"/>
      <c r="K36" s="98"/>
      <c r="L36" s="98"/>
    </row>
    <row r="37" spans="1:13">
      <c r="B37" s="89"/>
      <c r="I37" s="27"/>
    </row>
    <row r="38" spans="1:13">
      <c r="B38" s="456" t="s">
        <v>193</v>
      </c>
      <c r="C38" s="455" t="s">
        <v>194</v>
      </c>
      <c r="D38" s="330">
        <f>IFERROR(Equity_Return_on_the_RAV/Equity_RAV_based_on_actual_gearing,0)</f>
        <v>4.2180636514259941E-2</v>
      </c>
      <c r="E38" s="330">
        <f>IFERROR(Equity_Return_on_the_RAV/Equity_RAV_based_on_actual_gearing,0)</f>
        <v>4.877641432964587E-2</v>
      </c>
      <c r="F38" s="330">
        <f>IFERROR(Equity_Return_on_the_RAV/Equity_RAV_based_on_actual_gearing,0)</f>
        <v>4.9677380789080475E-2</v>
      </c>
      <c r="G38" s="330">
        <f>IFERROR(Equity_Return_on_the_RAV/Equity_RAV_based_on_actual_gearing,0)</f>
        <v>4.7549268934292344E-2</v>
      </c>
      <c r="H38" s="330">
        <f>IFERROR(Equity_Return_on_the_RAV/Equity_RAV_based_on_actual_gearing,0)</f>
        <v>4.6098259439754798E-2</v>
      </c>
      <c r="I38" s="80"/>
      <c r="J38" s="82">
        <f>IFERROR(AVERAGE(D65:INDEX(D65:H65,0,MATCH('RFPR cover'!$C$9,$D$6:$H$6,0)))/AVERAGE($D$91:INDEX($D$91:$H$91,0,MATCH('RFPR cover'!$C$9,$D$6:$H$6,0))),0)</f>
        <v>4.2180636514259941E-2</v>
      </c>
      <c r="K38" s="180">
        <f t="shared" ref="K38:K48" si="11">IFERROR(AVERAGE(D65:H65)/AVERAGE($D$91:$H$91),0)</f>
        <v>4.6727883153350691E-2</v>
      </c>
      <c r="M38" s="130"/>
    </row>
    <row r="39" spans="1:13">
      <c r="B39" s="456" t="str">
        <f t="shared" ref="B39:B46" si="12">B66</f>
        <v>Totex outperformance</v>
      </c>
      <c r="C39" s="455" t="s">
        <v>194</v>
      </c>
      <c r="D39" s="330">
        <f>IFERROR(Totex_outperformance/Equity_RAV_based_on_actual_gearing,0)</f>
        <v>2.0005961774896383E-3</v>
      </c>
      <c r="E39" s="330">
        <f>IFERROR(Totex_outperformance/Equity_RAV_based_on_actual_gearing,0)</f>
        <v>1.975961214002806E-3</v>
      </c>
      <c r="F39" s="330">
        <f>IFERROR(Totex_outperformance/Equity_RAV_based_on_actual_gearing,0)</f>
        <v>5.5567842268289111E-3</v>
      </c>
      <c r="G39" s="330">
        <f>IFERROR(Totex_outperformance/Equity_RAV_based_on_actual_gearing,0)</f>
        <v>-3.1574177841615621E-4</v>
      </c>
      <c r="H39" s="330">
        <f>IFERROR(Totex_outperformance/Equity_RAV_based_on_actual_gearing,0)</f>
        <v>1.5474956888070915E-4</v>
      </c>
      <c r="I39" s="80"/>
      <c r="J39" s="82">
        <f>IFERROR(AVERAGE(D66:INDEX(D66:H66,0,MATCH('RFPR cover'!$C$9,$D$6:$H$6,0)))/AVERAGE($D$91:INDEX($D$91:$H$91,0,MATCH('RFPR cover'!$C$9,$D$6:$H$6,0))),0)</f>
        <v>2.0005961774896383E-3</v>
      </c>
      <c r="K39" s="180">
        <f t="shared" si="11"/>
        <v>1.8254121483337988E-3</v>
      </c>
    </row>
    <row r="40" spans="1:13">
      <c r="A40" s="78" t="s">
        <v>195</v>
      </c>
      <c r="B40" s="456" t="str">
        <f t="shared" si="12"/>
        <v>Business Plan Incentive</v>
      </c>
      <c r="C40" s="455" t="s">
        <v>194</v>
      </c>
      <c r="D40" s="330">
        <f>IFERROR(Business_Plan_Incentive/Equity_RAV_based_on_actual_gearing,0)</f>
        <v>-7.4194201204599776E-6</v>
      </c>
      <c r="E40" s="330">
        <f>IFERROR(Business_Plan_Incentive/Equity_RAV_based_on_actual_gearing,0)</f>
        <v>-8.3824330835237809E-6</v>
      </c>
      <c r="F40" s="330">
        <f>IFERROR(Business_Plan_Incentive/Equity_RAV_based_on_actual_gearing,0)</f>
        <v>-8.4904033958568846E-6</v>
      </c>
      <c r="G40" s="330">
        <f>IFERROR(Business_Plan_Incentive/Equity_RAV_based_on_actual_gearing,0)</f>
        <v>-8.0449484816358658E-6</v>
      </c>
      <c r="H40" s="330">
        <f>IFERROR(Business_Plan_Incentive/Equity_RAV_based_on_actual_gearing,0)</f>
        <v>-7.7739990375711588E-6</v>
      </c>
      <c r="I40" s="80"/>
      <c r="J40" s="82">
        <f>IFERROR(AVERAGE(D67:INDEX(D67:H67,0,MATCH('RFPR cover'!$C$9,$D$6:$H$6,0)))/AVERAGE($D$91:INDEX($D$91:$H$91,0,MATCH('RFPR cover'!$C$9,$D$6:$H$6,0))),0)</f>
        <v>-7.4194201204599776E-6</v>
      </c>
      <c r="K40" s="180">
        <f t="shared" si="11"/>
        <v>-8.0026365228812111E-6</v>
      </c>
    </row>
    <row r="41" spans="1:13">
      <c r="A41" s="78" t="s">
        <v>196</v>
      </c>
      <c r="B41" s="456" t="str">
        <f t="shared" si="12"/>
        <v>Customer Satisfaction Survey ODI</v>
      </c>
      <c r="C41" s="455" t="s">
        <v>194</v>
      </c>
      <c r="D41" s="330">
        <f>IFERROR(ODI_1/Equity_RAV_based_on_actual_gearing,0)</f>
        <v>1.518846508166584E-3</v>
      </c>
      <c r="E41" s="330">
        <f>IFERROR(ODI_1/Equity_RAV_based_on_actual_gearing,0)</f>
        <v>1.7430196078090246E-3</v>
      </c>
      <c r="F41" s="330">
        <f>IFERROR(ODI_1/Equity_RAV_based_on_actual_gearing,0)</f>
        <v>2.0783727524968636E-3</v>
      </c>
      <c r="G41" s="330">
        <f>IFERROR(ODI_1/Equity_RAV_based_on_actual_gearing,0)</f>
        <v>2.1033676140234719E-3</v>
      </c>
      <c r="H41" s="330">
        <f>IFERROR(ODI_1/Equity_RAV_based_on_actual_gearing,0)</f>
        <v>2.0325273486091824E-3</v>
      </c>
      <c r="I41" s="80"/>
      <c r="J41" s="82">
        <f>IFERROR(AVERAGE(D68:INDEX(D68:H68,0,MATCH('RFPR cover'!$C$9,$D$6:$H$6,0)))/AVERAGE($D$91:INDEX($D$91:$H$91,0,MATCH('RFPR cover'!$C$9,$D$6:$H$6,0))),0)</f>
        <v>1.518846508166584E-3</v>
      </c>
      <c r="K41" s="180">
        <f t="shared" si="11"/>
        <v>1.88917317872804E-3</v>
      </c>
    </row>
    <row r="42" spans="1:13">
      <c r="A42" s="78" t="s">
        <v>197</v>
      </c>
      <c r="B42" s="456" t="str">
        <f t="shared" si="12"/>
        <v>Complaints metric ODI</v>
      </c>
      <c r="C42" s="455" t="s">
        <v>194</v>
      </c>
      <c r="D42" s="330">
        <f>IFERROR(ODI_2/Equity_RAV_based_on_actual_gearing,0)</f>
        <v>0</v>
      </c>
      <c r="E42" s="330">
        <f>IFERROR(ODI_2/Equity_RAV_based_on_actual_gearing,0)</f>
        <v>0</v>
      </c>
      <c r="F42" s="330">
        <f>IFERROR(ODI_2/Equity_RAV_based_on_actual_gearing,0)</f>
        <v>0</v>
      </c>
      <c r="G42" s="330">
        <f>IFERROR(ODI_2/Equity_RAV_based_on_actual_gearing,0)</f>
        <v>0</v>
      </c>
      <c r="H42" s="330">
        <f>IFERROR(ODI_2/Equity_RAV_based_on_actual_gearing,0)</f>
        <v>0</v>
      </c>
      <c r="I42" s="80"/>
      <c r="J42" s="82">
        <f>IFERROR(AVERAGE(D69:INDEX(D69:H69,0,MATCH('RFPR cover'!$C$9,$D$6:$H$6,0)))/AVERAGE($D$91:INDEX($D$91:$H$91,0,MATCH('RFPR cover'!$C$9,$D$6:$H$6,0))),0)</f>
        <v>0</v>
      </c>
      <c r="K42" s="180">
        <f t="shared" si="11"/>
        <v>0</v>
      </c>
    </row>
    <row r="43" spans="1:13">
      <c r="A43" s="78" t="s">
        <v>198</v>
      </c>
      <c r="B43" s="456" t="str">
        <f t="shared" si="12"/>
        <v>Unplanned Interruption Mean Duration ODI [NGN, SGN and WWU]</v>
      </c>
      <c r="C43" s="455" t="s">
        <v>194</v>
      </c>
      <c r="D43" s="330">
        <f>IFERROR(ODI_3/Equity_RAV_based_on_actual_gearing,0)</f>
        <v>0</v>
      </c>
      <c r="E43" s="330">
        <f>IFERROR(ODI_3/Equity_RAV_based_on_actual_gearing,0)</f>
        <v>0</v>
      </c>
      <c r="F43" s="330">
        <f>IFERROR(ODI_3/Equity_RAV_based_on_actual_gearing,0)</f>
        <v>0</v>
      </c>
      <c r="G43" s="330">
        <f>IFERROR(ODI_3/Equity_RAV_based_on_actual_gearing,0)</f>
        <v>0</v>
      </c>
      <c r="H43" s="330">
        <f>IFERROR(ODI_3/Equity_RAV_based_on_actual_gearing,0)</f>
        <v>0</v>
      </c>
      <c r="I43" s="80"/>
      <c r="J43" s="82">
        <f>IFERROR(AVERAGE(D70:INDEX(D70:H70,0,MATCH('RFPR cover'!$C$9,$D$6:$H$6,0)))/AVERAGE($D$91:INDEX($D$91:$H$91,0,MATCH('RFPR cover'!$C$9,$D$6:$H$6,0))),0)</f>
        <v>0</v>
      </c>
      <c r="K43" s="180">
        <f t="shared" si="11"/>
        <v>0</v>
      </c>
    </row>
    <row r="44" spans="1:13">
      <c r="A44" s="78" t="s">
        <v>199</v>
      </c>
      <c r="B44" s="456" t="str">
        <f t="shared" si="12"/>
        <v>Unplanned Interruption Mean Duration ODI [Cadent only]</v>
      </c>
      <c r="C44" s="455" t="s">
        <v>194</v>
      </c>
      <c r="D44" s="330">
        <f>IFERROR(ODI_4/Equity_RAV_based_on_actual_gearing,0)</f>
        <v>0</v>
      </c>
      <c r="E44" s="330">
        <f>IFERROR(ODI_4/Equity_RAV_based_on_actual_gearing,0)</f>
        <v>0</v>
      </c>
      <c r="F44" s="330">
        <f>IFERROR(ODI_4/Equity_RAV_based_on_actual_gearing,0)</f>
        <v>0</v>
      </c>
      <c r="G44" s="330">
        <f>IFERROR(ODI_4/Equity_RAV_based_on_actual_gearing,0)</f>
        <v>0</v>
      </c>
      <c r="H44" s="330">
        <f>IFERROR(ODI_4/Equity_RAV_based_on_actual_gearing,0)</f>
        <v>0</v>
      </c>
      <c r="I44" s="80"/>
      <c r="J44" s="82">
        <f>IFERROR(AVERAGE(D71:INDEX(D71:H71,0,MATCH('RFPR cover'!$C$9,$D$6:$H$6,0)))/AVERAGE($D$91:INDEX($D$91:$H$91,0,MATCH('RFPR cover'!$C$9,$D$6:$H$6,0))),0)</f>
        <v>0</v>
      </c>
      <c r="K44" s="180">
        <f t="shared" si="11"/>
        <v>0</v>
      </c>
    </row>
    <row r="45" spans="1:13">
      <c r="A45" s="78" t="s">
        <v>200</v>
      </c>
      <c r="B45" s="456" t="str">
        <f t="shared" si="12"/>
        <v>Shrinkage Management ODI</v>
      </c>
      <c r="C45" s="455" t="s">
        <v>194</v>
      </c>
      <c r="D45" s="330">
        <f>IFERROR(ODI_5/Equity_RAV_based_on_actual_gearing,0)</f>
        <v>4.8495549821831661E-4</v>
      </c>
      <c r="E45" s="330">
        <f>IFERROR(ODI_5/Equity_RAV_based_on_actual_gearing,0)</f>
        <v>5.4790090685011002E-4</v>
      </c>
      <c r="F45" s="330">
        <f>IFERROR(ODI_5/Equity_RAV_based_on_actual_gearing,0)</f>
        <v>5.5495816951486962E-4</v>
      </c>
      <c r="G45" s="330">
        <f>IFERROR(ODI_5/Equity_RAV_based_on_actual_gearing,0)</f>
        <v>5.148945143201609E-4</v>
      </c>
      <c r="H45" s="330">
        <f>IFERROR(ODI_5/Equity_RAV_based_on_actual_gearing,0)</f>
        <v>4.607182852382989E-4</v>
      </c>
      <c r="I45" s="80"/>
      <c r="J45" s="82">
        <f>IFERROR(AVERAGE(D72:INDEX(D72:H72,0,MATCH('RFPR cover'!$C$9,$D$6:$H$6,0)))/AVERAGE($D$91:INDEX($D$91:$H$91,0,MATCH('RFPR cover'!$C$9,$D$6:$H$6,0))),0)</f>
        <v>4.8495549821831661E-4</v>
      </c>
      <c r="K45" s="180">
        <f t="shared" si="11"/>
        <v>5.1113670289646416E-4</v>
      </c>
    </row>
    <row r="46" spans="1:13">
      <c r="A46" s="78" t="s">
        <v>201</v>
      </c>
      <c r="B46" s="456" t="str">
        <f t="shared" si="12"/>
        <v>Collaborative streetworks ODI [Cadent Lon &amp; EoE, SGN So only]</v>
      </c>
      <c r="C46" s="455" t="s">
        <v>194</v>
      </c>
      <c r="D46" s="330">
        <f>IFERROR(ODI_6/Equity_RAV_based_on_actual_gearing,0)</f>
        <v>0</v>
      </c>
      <c r="E46" s="330">
        <f>IFERROR(ODI_6/Equity_RAV_based_on_actual_gearing,0)</f>
        <v>0</v>
      </c>
      <c r="F46" s="330">
        <f>IFERROR(ODI_6/Equity_RAV_based_on_actual_gearing,0)</f>
        <v>0</v>
      </c>
      <c r="G46" s="330">
        <f>IFERROR(ODI_6/Equity_RAV_based_on_actual_gearing,0)</f>
        <v>0</v>
      </c>
      <c r="H46" s="330">
        <f>IFERROR(ODI_6/Equity_RAV_based_on_actual_gearing,0)</f>
        <v>0</v>
      </c>
      <c r="I46" s="80"/>
      <c r="J46" s="82">
        <f>IFERROR(AVERAGE(D73:INDEX(D73:H73,0,MATCH('RFPR cover'!$C$9,$D$6:$H$6,0)))/AVERAGE($D$91:INDEX($D$91:$H$91,0,MATCH('RFPR cover'!$C$9,$D$6:$H$6,0))),0)</f>
        <v>0</v>
      </c>
      <c r="K46" s="180">
        <f t="shared" si="11"/>
        <v>0</v>
      </c>
    </row>
    <row r="47" spans="1:13">
      <c r="A47" s="78" t="s">
        <v>202</v>
      </c>
      <c r="B47" s="456" t="str">
        <f t="shared" ref="B47" si="13">B74</f>
        <v>Network innovation input for RORE</v>
      </c>
      <c r="C47" s="455" t="s">
        <v>194</v>
      </c>
      <c r="D47" s="330">
        <f>IFERROR(ORA_1/Equity_RAV_based_on_actual_gearing,0)</f>
        <v>-4.42406252032207E-5</v>
      </c>
      <c r="E47" s="330">
        <f>IFERROR(ORA_1/Equity_RAV_based_on_actual_gearing,0)</f>
        <v>-2.1666677263075255E-4</v>
      </c>
      <c r="F47" s="330">
        <f>IFERROR(ORA_1/Equity_RAV_based_on_actual_gearing,0)</f>
        <v>-2.5469107789564477E-4</v>
      </c>
      <c r="G47" s="330">
        <f>IFERROR(ORA_1/Equity_RAV_based_on_actual_gearing,0)</f>
        <v>-2.4132853350673791E-4</v>
      </c>
      <c r="H47" s="330">
        <f>IFERROR(ORA_1/Equity_RAV_based_on_actual_gearing,0)</f>
        <v>-2.3320072111118786E-4</v>
      </c>
      <c r="I47" s="80"/>
      <c r="J47" s="82">
        <f>IFERROR(AVERAGE(D74:INDEX(D74:H74,0,MATCH('RFPR cover'!$C$9,$D$6:$H$6,0)))/AVERAGE($D$91:INDEX($D$91:$H$91,0,MATCH('RFPR cover'!$C$9,$D$6:$H$6,0))),0)</f>
        <v>-4.42406252032207E-5</v>
      </c>
      <c r="K47" s="180">
        <f t="shared" si="11"/>
        <v>-1.9494919457577407E-4</v>
      </c>
    </row>
    <row r="48" spans="1:13">
      <c r="A48" s="78" t="s">
        <v>203</v>
      </c>
      <c r="B48" s="456" t="str">
        <f t="shared" ref="B48" si="14">B75</f>
        <v>Carry-over Network innovation input for RORE</v>
      </c>
      <c r="C48" s="455" t="s">
        <v>194</v>
      </c>
      <c r="D48" s="330">
        <f>IFERROR(ORA_2/Equity_RAV_based_on_actual_gearing,0)</f>
        <v>-7.8118705871396449E-5</v>
      </c>
      <c r="E48" s="330">
        <f>IFERROR(ORA_2/Equity_RAV_based_on_actual_gearing,0)</f>
        <v>0</v>
      </c>
      <c r="F48" s="330">
        <f>IFERROR(ORA_2/Equity_RAV_based_on_actual_gearing,0)</f>
        <v>0</v>
      </c>
      <c r="G48" s="330">
        <f>IFERROR(ORA_2/Equity_RAV_based_on_actual_gearing,0)</f>
        <v>0</v>
      </c>
      <c r="H48" s="330">
        <f>IFERROR(ORA_2/Equity_RAV_based_on_actual_gearing,0)</f>
        <v>0</v>
      </c>
      <c r="I48" s="80"/>
      <c r="J48" s="82">
        <f>IFERROR(AVERAGE(D75:INDEX(D75:H75,0,MATCH('RFPR cover'!$C$9,$D$6:$H$6,0)))/AVERAGE($D$91:INDEX($D$91:$H$91,0,MATCH('RFPR cover'!$C$9,$D$6:$H$6,0))),0)</f>
        <v>-7.8118705871396449E-5</v>
      </c>
      <c r="K48" s="180">
        <f t="shared" si="11"/>
        <v>-1.685187247997205E-5</v>
      </c>
    </row>
    <row r="49" spans="1:12">
      <c r="A49" s="78" t="s">
        <v>204</v>
      </c>
      <c r="B49" s="723" t="str">
        <f>B76</f>
        <v>Strategic innovation input for RORE</v>
      </c>
      <c r="C49" s="455" t="s">
        <v>194</v>
      </c>
      <c r="D49" s="330">
        <f>IFERROR(ORA_3/Equity_RAV_based_on_actual_gearing,0)</f>
        <v>0</v>
      </c>
      <c r="E49" s="330">
        <f>IFERROR(ORA_3/Equity_RAV_based_on_actual_gearing,0)</f>
        <v>0</v>
      </c>
      <c r="F49" s="330">
        <f>IFERROR(ORA_3/Equity_RAV_based_on_actual_gearing,0)</f>
        <v>0</v>
      </c>
      <c r="G49" s="330">
        <f>IFERROR(ORA_3/Equity_RAV_based_on_actual_gearing,0)</f>
        <v>0</v>
      </c>
      <c r="H49" s="330">
        <f>IFERROR(ORA_3/Equity_RAV_based_on_actual_gearing,0)</f>
        <v>0</v>
      </c>
      <c r="I49" s="80"/>
      <c r="J49" s="82">
        <f>IFERROR(AVERAGE(D76:INDEX(D76:H76,0,MATCH('RFPR cover'!$C$9,$D$6:$H$6,0)))/AVERAGE($D$91:INDEX($D$91:$H$91,0,MATCH('RFPR cover'!$C$9,$D$6:$H$6,0))),0)</f>
        <v>0</v>
      </c>
      <c r="K49" s="180">
        <f t="shared" ref="K49:K54" si="15">IFERROR(AVERAGE(D76:H76)/AVERAGE($D$91:$H$91),0)</f>
        <v>0</v>
      </c>
    </row>
    <row r="50" spans="1:12">
      <c r="A50" s="78" t="s">
        <v>205</v>
      </c>
      <c r="B50" s="456" t="str">
        <f t="shared" ref="B50:B54" si="16">B77</f>
        <v/>
      </c>
      <c r="C50" s="455" t="s">
        <v>194</v>
      </c>
      <c r="D50" s="330">
        <f>IFERROR(ORA_4/Equity_RAV_based_on_actual_gearing,0)</f>
        <v>0</v>
      </c>
      <c r="E50" s="330">
        <f>IFERROR(ORA_4/Equity_RAV_based_on_actual_gearing,0)</f>
        <v>0</v>
      </c>
      <c r="F50" s="330">
        <f>IFERROR(ORA_4/Equity_RAV_based_on_actual_gearing,0)</f>
        <v>0</v>
      </c>
      <c r="G50" s="330">
        <f>IFERROR(ORA_4/Equity_RAV_based_on_actual_gearing,0)</f>
        <v>0</v>
      </c>
      <c r="H50" s="330">
        <f>IFERROR(ORA_4/Equity_RAV_based_on_actual_gearing,0)</f>
        <v>0</v>
      </c>
      <c r="I50" s="80"/>
      <c r="J50" s="82">
        <f>IFERROR(AVERAGE(D77:INDEX(D77:H77,0,MATCH('RFPR cover'!$C$9,$D$6:$H$6,0)))/AVERAGE($D$91:INDEX($D$91:$H$91,0,MATCH('RFPR cover'!$C$9,$D$6:$H$6,0))),0)</f>
        <v>0</v>
      </c>
      <c r="K50" s="180">
        <f t="shared" si="15"/>
        <v>0</v>
      </c>
    </row>
    <row r="51" spans="1:12">
      <c r="A51" s="78" t="s">
        <v>206</v>
      </c>
      <c r="B51" s="456" t="str">
        <f t="shared" si="16"/>
        <v/>
      </c>
      <c r="C51" s="455" t="s">
        <v>194</v>
      </c>
      <c r="D51" s="330">
        <f>IFERROR(ORA_5/Equity_RAV_based_on_actual_gearing,0)</f>
        <v>0</v>
      </c>
      <c r="E51" s="330">
        <f>IFERROR(ORA_5/Equity_RAV_based_on_actual_gearing,0)</f>
        <v>0</v>
      </c>
      <c r="F51" s="330">
        <f>IFERROR(ORA_5/Equity_RAV_based_on_actual_gearing,0)</f>
        <v>0</v>
      </c>
      <c r="G51" s="330">
        <f>IFERROR(ORA_5/Equity_RAV_based_on_actual_gearing,0)</f>
        <v>0</v>
      </c>
      <c r="H51" s="330">
        <f>IFERROR(ORA_5/Equity_RAV_based_on_actual_gearing,0)</f>
        <v>0</v>
      </c>
      <c r="I51" s="80"/>
      <c r="J51" s="82">
        <f>IFERROR(AVERAGE(D78:INDEX(D78:H78,0,MATCH('RFPR cover'!$C$9,$D$6:$H$6,0)))/AVERAGE($D$91:INDEX($D$91:$H$91,0,MATCH('RFPR cover'!$C$9,$D$6:$H$6,0))),0)</f>
        <v>0</v>
      </c>
      <c r="K51" s="180">
        <f t="shared" si="15"/>
        <v>0</v>
      </c>
    </row>
    <row r="52" spans="1:12">
      <c r="A52" s="78" t="s">
        <v>207</v>
      </c>
      <c r="B52" s="456" t="str">
        <f t="shared" si="16"/>
        <v/>
      </c>
      <c r="C52" s="455" t="s">
        <v>194</v>
      </c>
      <c r="D52" s="330">
        <f>IFERROR(ORA_6/Equity_RAV_based_on_actual_gearing,0)</f>
        <v>0</v>
      </c>
      <c r="E52" s="330">
        <f>IFERROR(ORA_6/Equity_RAV_based_on_actual_gearing,0)</f>
        <v>0</v>
      </c>
      <c r="F52" s="330">
        <f>IFERROR(ORA_6/Equity_RAV_based_on_actual_gearing,0)</f>
        <v>0</v>
      </c>
      <c r="G52" s="330">
        <f>IFERROR(ORA_6/Equity_RAV_based_on_actual_gearing,0)</f>
        <v>0</v>
      </c>
      <c r="H52" s="330">
        <f>IFERROR(ORA_6/Equity_RAV_based_on_actual_gearing,0)</f>
        <v>0</v>
      </c>
      <c r="I52" s="80"/>
      <c r="J52" s="82">
        <f>IFERROR(AVERAGE(D79:INDEX(D79:H79,0,MATCH('RFPR cover'!$C$9,$D$6:$H$6,0)))/AVERAGE($D$91:INDEX($D$91:$H$91,0,MATCH('RFPR cover'!$C$9,$D$6:$H$6,0))),0)</f>
        <v>0</v>
      </c>
      <c r="K52" s="180">
        <f t="shared" si="15"/>
        <v>0</v>
      </c>
    </row>
    <row r="53" spans="1:12">
      <c r="A53" s="78" t="s">
        <v>208</v>
      </c>
      <c r="B53" s="456" t="str">
        <f t="shared" si="16"/>
        <v/>
      </c>
      <c r="C53" s="455" t="s">
        <v>194</v>
      </c>
      <c r="D53" s="330">
        <f>IFERROR(ORA_7/Equity_RAV_based_on_actual_gearing,0)</f>
        <v>0</v>
      </c>
      <c r="E53" s="330">
        <f>IFERROR(ORA_7/Equity_RAV_based_on_actual_gearing,0)</f>
        <v>0</v>
      </c>
      <c r="F53" s="330">
        <f>IFERROR(ORA_7/Equity_RAV_based_on_actual_gearing,0)</f>
        <v>0</v>
      </c>
      <c r="G53" s="330">
        <f>IFERROR(ORA_7/Equity_RAV_based_on_actual_gearing,0)</f>
        <v>0</v>
      </c>
      <c r="H53" s="330">
        <f>IFERROR(ORA_7/Equity_RAV_based_on_actual_gearing,0)</f>
        <v>0</v>
      </c>
      <c r="I53" s="80"/>
      <c r="J53" s="82">
        <f>IFERROR(AVERAGE(D80:INDEX(D80:H80,0,MATCH('RFPR cover'!$C$9,$D$6:$H$6,0)))/AVERAGE($D$91:INDEX($D$91:$H$91,0,MATCH('RFPR cover'!$C$9,$D$6:$H$6,0))),0)</f>
        <v>0</v>
      </c>
      <c r="K53" s="180">
        <f t="shared" si="15"/>
        <v>0</v>
      </c>
    </row>
    <row r="54" spans="1:12">
      <c r="A54" s="78" t="s">
        <v>209</v>
      </c>
      <c r="B54" s="456" t="str">
        <f t="shared" si="16"/>
        <v/>
      </c>
      <c r="C54" s="455" t="s">
        <v>194</v>
      </c>
      <c r="D54" s="330">
        <f>IFERROR(ORA_8/Equity_RAV_based_on_actual_gearing,0)</f>
        <v>0</v>
      </c>
      <c r="E54" s="330">
        <f>IFERROR(ORA_8/Equity_RAV_based_on_actual_gearing,0)</f>
        <v>0</v>
      </c>
      <c r="F54" s="330">
        <f>IFERROR(ORA_8/Equity_RAV_based_on_actual_gearing,0)</f>
        <v>0</v>
      </c>
      <c r="G54" s="330">
        <f>IFERROR(ORA_8/Equity_RAV_based_on_actual_gearing,0)</f>
        <v>0</v>
      </c>
      <c r="H54" s="330">
        <f>IFERROR(ORA_8/Equity_RAV_based_on_actual_gearing,0)</f>
        <v>0</v>
      </c>
      <c r="I54" s="80"/>
      <c r="J54" s="82">
        <f>IFERROR(AVERAGE(D81:INDEX(D81:H81,0,MATCH('RFPR cover'!$C$9,$D$6:$H$6,0)))/AVERAGE($D$91:INDEX($D$91:$H$91,0,MATCH('RFPR cover'!$C$9,$D$6:$H$6,0))),0)</f>
        <v>0</v>
      </c>
      <c r="K54" s="180">
        <f t="shared" si="15"/>
        <v>0</v>
      </c>
    </row>
    <row r="55" spans="1:12" ht="12.75" thickBot="1">
      <c r="B55" s="456" t="str">
        <f t="shared" ref="B55:B56" si="17">B82</f>
        <v>Penalties and fines (Other Activities)</v>
      </c>
      <c r="C55" s="455" t="s">
        <v>194</v>
      </c>
      <c r="D55" s="438">
        <f>IFERROR(Penalties_and_fines/Equity_RAV_based_on_actual_gearing,0)</f>
        <v>-5.719018703334469E-4</v>
      </c>
      <c r="E55" s="438">
        <f>IFERROR(Penalties_and_fines/Equity_RAV_based_on_actual_gearing,0)</f>
        <v>-5.55545484127835E-4</v>
      </c>
      <c r="F55" s="438">
        <f>IFERROR(Penalties_and_fines/Equity_RAV_based_on_actual_gearing,0)</f>
        <v>-5.4459319720573179E-4</v>
      </c>
      <c r="G55" s="438">
        <f>IFERROR(Penalties_and_fines/Equity_RAV_based_on_actual_gearing,0)</f>
        <v>-5.0742292742248104E-4</v>
      </c>
      <c r="H55" s="438">
        <f>IFERROR(Penalties_and_fines/Equity_RAV_based_on_actual_gearing,0)</f>
        <v>-4.8114110289555105E-4</v>
      </c>
      <c r="I55" s="80"/>
      <c r="J55" s="85">
        <f>IFERROR(AVERAGE(D82:INDEX(D82:H82,0,MATCH('RFPR cover'!$C$9,$D$6:$H$6,0)))/AVERAGE($D$91:INDEX($D$91:$H$91,0,MATCH('RFPR cover'!$C$9,$D$6:$H$6,0))),0)</f>
        <v>-5.719018703334469E-4</v>
      </c>
      <c r="K55" s="443">
        <f>IFERROR(AVERAGE(D82:H82)/AVERAGE($D$91:$H$91),0)</f>
        <v>-5.3211686586918886E-4</v>
      </c>
    </row>
    <row r="56" spans="1:12" ht="12.75" thickBot="1">
      <c r="B56" s="457" t="str">
        <f t="shared" si="17"/>
        <v>RoRE - Operational performance</v>
      </c>
      <c r="C56" s="172" t="s">
        <v>194</v>
      </c>
      <c r="D56" s="440">
        <f t="shared" ref="D56:H56" si="18">SUM(D38:D55)</f>
        <v>4.5483354076605954E-2</v>
      </c>
      <c r="E56" s="441">
        <f t="shared" si="18"/>
        <v>5.2262701368465704E-2</v>
      </c>
      <c r="F56" s="441">
        <f t="shared" si="18"/>
        <v>5.7059721259423886E-2</v>
      </c>
      <c r="G56" s="441">
        <f t="shared" si="18"/>
        <v>4.9094992874808958E-2</v>
      </c>
      <c r="H56" s="442">
        <f t="shared" si="18"/>
        <v>4.8024138819438678E-2</v>
      </c>
      <c r="I56" s="81"/>
      <c r="J56" s="445">
        <f>SUM(J38:J55)</f>
        <v>4.5483354076605954E-2</v>
      </c>
      <c r="K56" s="442">
        <f>SUM(K38:K55)</f>
        <v>5.0201684613861181E-2</v>
      </c>
    </row>
    <row r="57" spans="1:12">
      <c r="B57" s="456" t="s">
        <v>211</v>
      </c>
      <c r="C57" s="455" t="s">
        <v>194</v>
      </c>
      <c r="D57" s="439">
        <f>IFERROR((Debt_performance___at_notional_gearing+Debt_performance___impact_of_actual_gearing)/Equity_RAV_based_on_actual_gearing,0)</f>
        <v>2.2832863184039105E-2</v>
      </c>
      <c r="E57" s="439">
        <f>IFERROR((Debt_performance___at_notional_gearing+Debt_performance___impact_of_actual_gearing)/Equity_RAV_based_on_actual_gearing,0)</f>
        <v>7.0163663443145494E-2</v>
      </c>
      <c r="F57" s="439">
        <f>IFERROR((Debt_performance___at_notional_gearing+Debt_performance___impact_of_actual_gearing)/Equity_RAV_based_on_actual_gearing,0)</f>
        <v>1.8124412654593015E-2</v>
      </c>
      <c r="G57" s="439">
        <f>IFERROR((Debt_performance___at_notional_gearing+Debt_performance___impact_of_actual_gearing)/Equity_RAV_based_on_actual_gearing,0)</f>
        <v>7.4495102270942344E-3</v>
      </c>
      <c r="H57" s="439">
        <f>IFERROR((Debt_performance___at_notional_gearing+Debt_performance___impact_of_actual_gearing)/Equity_RAV_based_on_actual_gearing,0)</f>
        <v>1.0393338490223341E-2</v>
      </c>
      <c r="I57" s="80"/>
      <c r="J57" s="444">
        <f>IFERROR((AVERAGE(D84:INDEX(D84:H84,0,MATCH('RFPR cover'!$C$9,$D$6:$H$6,0)))+AVERAGE(D85:INDEX(D85:H85,0,MATCH('RFPR cover'!$C$9,$D$6:$H$6,0))))/AVERAGE($D$91:INDEX($D$91:$H$91,0,MATCH('RFPR cover'!$C$9,$D$6:$H$6,0))),0)</f>
        <v>2.2832863184039105E-2</v>
      </c>
      <c r="K57" s="444">
        <f>IFERROR((AVERAGE(D84:H84)+AVERAGE(D85:H85))/AVERAGE($D$91:$H$91),0)</f>
        <v>2.5360969154692124E-2</v>
      </c>
    </row>
    <row r="58" spans="1:12" ht="12.75" thickBot="1">
      <c r="B58" s="456" t="s">
        <v>212</v>
      </c>
      <c r="C58" s="455" t="s">
        <v>194</v>
      </c>
      <c r="D58" s="446">
        <f>IFERROR((Tax_performance___at_notional_gearing+Tax_performance___impact_of_actual_gearing)/D$91,0)</f>
        <v>-4.1573790098418766E-3</v>
      </c>
      <c r="E58" s="446">
        <f>IFERROR((Tax_performance___at_notional_gearing+Tax_performance___impact_of_actual_gearing)/E$91,0)</f>
        <v>-2.0942771211710565E-2</v>
      </c>
      <c r="F58" s="446">
        <f>IFERROR((Tax_performance___at_notional_gearing+Tax_performance___impact_of_actual_gearing)/F$91,0)</f>
        <v>4.1531948039921027E-3</v>
      </c>
      <c r="G58" s="446">
        <f>IFERROR((Tax_performance___at_notional_gearing+Tax_performance___impact_of_actual_gearing)/G$91,0)</f>
        <v>8.3609867592513093E-4</v>
      </c>
      <c r="H58" s="446">
        <f>IFERROR((Tax_performance___at_notional_gearing+Tax_performance___impact_of_actual_gearing)/H$91,0)</f>
        <v>-4.4975143792696078E-4</v>
      </c>
      <c r="I58" s="80"/>
      <c r="J58" s="85">
        <f>IFERROR((AVERAGE(D86:INDEX(D86:H86,0,MATCH('RFPR cover'!$C$9,$D$6:$H$6,0)))+AVERAGE(D87:INDEX(D87:H87,0,MATCH('RFPR cover'!$C$9,$D$6:$H$6,0))))/AVERAGE($D$91:INDEX($D$91:$H$91,0,MATCH('RFPR cover'!$C$9,$D$6:$H$6,0))),0)</f>
        <v>-4.1573790098418766E-3</v>
      </c>
      <c r="K58" s="85">
        <f>IFERROR((AVERAGE(D86:H86)+AVERAGE(D87:H87))/AVERAGE($D$91:$H$91),0)</f>
        <v>-4.038948091973386E-3</v>
      </c>
    </row>
    <row r="59" spans="1:12" ht="12.75" thickBot="1">
      <c r="B59" s="457" t="str">
        <f>B88</f>
        <v>RoRE - including financing and tax</v>
      </c>
      <c r="C59" s="172" t="s">
        <v>194</v>
      </c>
      <c r="D59" s="440">
        <f>SUM(D56:D58)</f>
        <v>6.415883825080318E-2</v>
      </c>
      <c r="E59" s="441">
        <f t="shared" ref="E59:H59" si="19">SUM(E56:E58)</f>
        <v>0.10148359359990064</v>
      </c>
      <c r="F59" s="441">
        <f t="shared" si="19"/>
        <v>7.9337328718009012E-2</v>
      </c>
      <c r="G59" s="441">
        <f t="shared" si="19"/>
        <v>5.7380601777828319E-2</v>
      </c>
      <c r="H59" s="442">
        <f t="shared" si="19"/>
        <v>5.7967725871735057E-2</v>
      </c>
      <c r="I59" s="81"/>
      <c r="J59" s="445">
        <f>SUM(J56:J58)</f>
        <v>6.415883825080318E-2</v>
      </c>
      <c r="K59" s="442">
        <f>SUM(K56:K58)</f>
        <v>7.1523705676579924E-2</v>
      </c>
    </row>
    <row r="60" spans="1:12">
      <c r="B60" s="171"/>
      <c r="C60" s="172"/>
      <c r="D60" s="173"/>
      <c r="E60" s="173"/>
      <c r="F60" s="173"/>
      <c r="G60" s="173"/>
      <c r="H60" s="173"/>
      <c r="I60" s="81"/>
      <c r="J60" s="173"/>
      <c r="K60" s="173"/>
    </row>
    <row r="61" spans="1:12">
      <c r="B61" s="171"/>
      <c r="C61" s="172"/>
      <c r="D61" s="173"/>
      <c r="E61" s="173"/>
      <c r="F61" s="173"/>
      <c r="G61" s="173"/>
      <c r="H61" s="173"/>
      <c r="I61" s="81"/>
      <c r="J61" s="173"/>
      <c r="K61" s="173"/>
    </row>
    <row r="62" spans="1:12">
      <c r="B62" s="183" t="s">
        <v>213</v>
      </c>
      <c r="C62" s="184"/>
      <c r="D62" s="185"/>
      <c r="E62" s="185"/>
      <c r="F62" s="185"/>
      <c r="G62" s="185"/>
      <c r="H62" s="185"/>
      <c r="I62" s="186"/>
      <c r="J62" s="185"/>
      <c r="K62" s="185"/>
      <c r="L62" s="98"/>
    </row>
    <row r="63" spans="1:12">
      <c r="B63" s="188" t="str">
        <f>"Input values provided in "&amp;Data!C9&amp;" prices"</f>
        <v>Input values provided in £m 18/19 prices</v>
      </c>
      <c r="C63" s="187"/>
      <c r="D63" s="187"/>
      <c r="E63" s="187"/>
      <c r="F63" s="187"/>
      <c r="G63" s="187"/>
      <c r="H63" s="187"/>
      <c r="I63" s="187"/>
      <c r="J63" s="187"/>
      <c r="K63" s="187"/>
      <c r="L63" s="187"/>
    </row>
    <row r="65" spans="1:12">
      <c r="B65" s="458" t="s">
        <v>214</v>
      </c>
      <c r="C65" s="460" t="str">
        <f>Data!$C$9</f>
        <v>£m 18/19</v>
      </c>
      <c r="D65" s="83">
        <f>'R7 - RAV'!E44</f>
        <v>41.423446509462757</v>
      </c>
      <c r="E65" s="84">
        <f>'R7 - RAV'!F44</f>
        <v>42.397753013482131</v>
      </c>
      <c r="F65" s="84">
        <f>'R7 - RAV'!G44</f>
        <v>42.631776412052005</v>
      </c>
      <c r="G65" s="84">
        <f>'R7 - RAV'!H44</f>
        <v>43.064919663071365</v>
      </c>
      <c r="H65" s="84">
        <f>'R7 - RAV'!I44</f>
        <v>43.205905343819566</v>
      </c>
      <c r="I65" s="88"/>
      <c r="J65" s="46">
        <f>SUM(D65:INDEX(D65:H65,0,MATCH('RFPR cover'!$C$9,$D$6:$H$6,0)))</f>
        <v>41.423446509462757</v>
      </c>
      <c r="K65" s="46">
        <f t="shared" ref="K65:K82" si="20">SUM(D65:H65)</f>
        <v>212.72380094188782</v>
      </c>
      <c r="L65" s="88"/>
    </row>
    <row r="66" spans="1:12">
      <c r="B66" s="458" t="s">
        <v>215</v>
      </c>
      <c r="C66" s="460" t="str">
        <f>Data!$C$9</f>
        <v>£m 18/19</v>
      </c>
      <c r="D66" s="118">
        <f>'R3 - Totex - Reconciliation'!D97</f>
        <v>1.9646832194497925</v>
      </c>
      <c r="E66" s="118">
        <f>'R3 - Totex - Reconciliation'!E97</f>
        <v>1.7175578948736456</v>
      </c>
      <c r="F66" s="118">
        <f>'R3 - Totex - Reconciliation'!F97</f>
        <v>4.7686810166984319</v>
      </c>
      <c r="G66" s="118">
        <f>'R3 - Totex - Reconciliation'!G97</f>
        <v>-0.28596431925288046</v>
      </c>
      <c r="H66" s="118">
        <f>'R3 - Totex - Reconciliation'!H97</f>
        <v>0.1450400797408582</v>
      </c>
      <c r="I66" s="88"/>
      <c r="J66" s="46">
        <f>SUM(D66:INDEX(D66:H66,0,MATCH('RFPR cover'!$C$9,$D$6:$H$6,0)))</f>
        <v>1.9646832194497925</v>
      </c>
      <c r="K66" s="46">
        <f t="shared" si="20"/>
        <v>8.3099978915098482</v>
      </c>
      <c r="L66" s="88"/>
    </row>
    <row r="67" spans="1:12">
      <c r="A67" s="78" t="s">
        <v>195</v>
      </c>
      <c r="B67" s="458" t="s">
        <v>216</v>
      </c>
      <c r="C67" s="460" t="str">
        <f>Data!$C$9</f>
        <v>£m 18/19</v>
      </c>
      <c r="D67" s="115">
        <f>'R4 - Incentives and Other Rev'!D12</f>
        <v>-7.2862331602607357E-3</v>
      </c>
      <c r="E67" s="115">
        <f>'R4 - Incentives and Other Rev'!E12</f>
        <v>-7.2862331602607357E-3</v>
      </c>
      <c r="F67" s="115">
        <f>'R4 - Incentives and Other Rev'!F12</f>
        <v>-7.2862331602607357E-3</v>
      </c>
      <c r="G67" s="115">
        <f>'R4 - Incentives and Other Rev'!G12</f>
        <v>-7.2862331602607357E-3</v>
      </c>
      <c r="H67" s="115">
        <f>'R4 - Incentives and Other Rev'!H12</f>
        <v>-7.2862331602607357E-3</v>
      </c>
      <c r="I67" s="88"/>
      <c r="J67" s="46">
        <f>SUM(D67:INDEX(D67:H67,0,MATCH('RFPR cover'!$C$9,$D$6:$H$6,0)))</f>
        <v>-7.2862331602607357E-3</v>
      </c>
      <c r="K67" s="46">
        <f t="shared" si="20"/>
        <v>-3.6431165801303678E-2</v>
      </c>
      <c r="L67" s="88"/>
    </row>
    <row r="68" spans="1:12">
      <c r="A68" s="78" t="s">
        <v>196</v>
      </c>
      <c r="B68" s="660" t="str">
        <f>'R4 - Incentives and Other Rev'!B14</f>
        <v>Customer Satisfaction Survey ODI</v>
      </c>
      <c r="C68" s="460" t="str">
        <f>Data!$C$9</f>
        <v>£m 18/19</v>
      </c>
      <c r="D68" s="115">
        <f>'R4 - Incentives and Other Rev'!D14</f>
        <v>1.4915815001002395</v>
      </c>
      <c r="E68" s="115">
        <f>'R4 - Incentives and Other Rev'!E14</f>
        <v>1.5150788725490156</v>
      </c>
      <c r="F68" s="115">
        <f>'R4 - Incentives and Other Rev'!F14</f>
        <v>1.7836029411764698</v>
      </c>
      <c r="G68" s="115">
        <f>'R4 - Incentives and Other Rev'!G14</f>
        <v>1.905</v>
      </c>
      <c r="H68" s="115">
        <f>'R4 - Incentives and Other Rev'!H14</f>
        <v>1.905</v>
      </c>
      <c r="I68" s="329"/>
      <c r="J68" s="46">
        <f>SUM(D68:INDEX(D68:H68,0,MATCH('RFPR cover'!$C$9,$D$6:$H$6,0)))</f>
        <v>1.4915815001002395</v>
      </c>
      <c r="K68" s="46">
        <f t="shared" si="20"/>
        <v>8.6002633138257245</v>
      </c>
      <c r="L68" s="88"/>
    </row>
    <row r="69" spans="1:12">
      <c r="A69" s="78" t="s">
        <v>197</v>
      </c>
      <c r="B69" s="660" t="str">
        <f>'R4 - Incentives and Other Rev'!B15</f>
        <v>Complaints metric ODI</v>
      </c>
      <c r="C69" s="460" t="str">
        <f>Data!$C$9</f>
        <v>£m 18/19</v>
      </c>
      <c r="D69" s="115">
        <f>'R4 - Incentives and Other Rev'!D15</f>
        <v>0</v>
      </c>
      <c r="E69" s="115">
        <f>'R4 - Incentives and Other Rev'!E15</f>
        <v>0</v>
      </c>
      <c r="F69" s="115">
        <f>'R4 - Incentives and Other Rev'!F15</f>
        <v>0</v>
      </c>
      <c r="G69" s="115">
        <f>'R4 - Incentives and Other Rev'!G15</f>
        <v>0</v>
      </c>
      <c r="H69" s="115">
        <f>'R4 - Incentives and Other Rev'!H15</f>
        <v>0</v>
      </c>
      <c r="I69" s="329"/>
      <c r="J69" s="46">
        <f>SUM(D69:INDEX(D69:H69,0,MATCH('RFPR cover'!$C$9,$D$6:$H$6,0)))</f>
        <v>0</v>
      </c>
      <c r="K69" s="46">
        <f t="shared" si="20"/>
        <v>0</v>
      </c>
      <c r="L69" s="88"/>
    </row>
    <row r="70" spans="1:12">
      <c r="A70" s="78" t="s">
        <v>198</v>
      </c>
      <c r="B70" s="660" t="str">
        <f>'R4 - Incentives and Other Rev'!B16</f>
        <v>Unplanned Interruption Mean Duration ODI [NGN, SGN and WWU]</v>
      </c>
      <c r="C70" s="460" t="str">
        <f>Data!$C$9</f>
        <v>£m 18/19</v>
      </c>
      <c r="D70" s="115">
        <f>'R4 - Incentives and Other Rev'!D16</f>
        <v>0</v>
      </c>
      <c r="E70" s="115">
        <f>'R4 - Incentives and Other Rev'!E16</f>
        <v>0</v>
      </c>
      <c r="F70" s="115">
        <f>'R4 - Incentives and Other Rev'!F16</f>
        <v>0</v>
      </c>
      <c r="G70" s="115">
        <f>'R4 - Incentives and Other Rev'!G16</f>
        <v>0</v>
      </c>
      <c r="H70" s="115">
        <f>'R4 - Incentives and Other Rev'!H16</f>
        <v>0</v>
      </c>
      <c r="I70" s="329"/>
      <c r="J70" s="46">
        <f>SUM(D70:INDEX(D70:H70,0,MATCH('RFPR cover'!$C$9,$D$6:$H$6,0)))</f>
        <v>0</v>
      </c>
      <c r="K70" s="46">
        <f t="shared" si="20"/>
        <v>0</v>
      </c>
      <c r="L70" s="88"/>
    </row>
    <row r="71" spans="1:12">
      <c r="A71" s="78" t="s">
        <v>199</v>
      </c>
      <c r="B71" s="660" t="str">
        <f>'R4 - Incentives and Other Rev'!B17</f>
        <v>Unplanned Interruption Mean Duration ODI [Cadent only]</v>
      </c>
      <c r="C71" s="460" t="str">
        <f>Data!$C$9</f>
        <v>£m 18/19</v>
      </c>
      <c r="D71" s="115">
        <f>'R4 - Incentives and Other Rev'!D17</f>
        <v>0</v>
      </c>
      <c r="E71" s="115">
        <f>'R4 - Incentives and Other Rev'!E17</f>
        <v>0</v>
      </c>
      <c r="F71" s="115">
        <f>'R4 - Incentives and Other Rev'!F17</f>
        <v>0</v>
      </c>
      <c r="G71" s="115">
        <f>'R4 - Incentives and Other Rev'!G17</f>
        <v>0</v>
      </c>
      <c r="H71" s="115">
        <f>'R4 - Incentives and Other Rev'!H17</f>
        <v>0</v>
      </c>
      <c r="I71" s="329"/>
      <c r="J71" s="46">
        <f>SUM(D71:INDEX(D71:H71,0,MATCH('RFPR cover'!$C$9,$D$6:$H$6,0)))</f>
        <v>0</v>
      </c>
      <c r="K71" s="46">
        <f t="shared" si="20"/>
        <v>0</v>
      </c>
      <c r="L71" s="88"/>
    </row>
    <row r="72" spans="1:12">
      <c r="A72" s="78" t="s">
        <v>200</v>
      </c>
      <c r="B72" s="660" t="str">
        <f>'R4 - Incentives and Other Rev'!B18</f>
        <v>Shrinkage Management ODI</v>
      </c>
      <c r="C72" s="460" t="str">
        <f>Data!$C$9</f>
        <v>£m 18/19</v>
      </c>
      <c r="D72" s="115">
        <f>'R4 - Incentives and Other Rev'!D18</f>
        <v>0.47625000000000001</v>
      </c>
      <c r="E72" s="115">
        <f>'R4 - Incentives and Other Rev'!E18</f>
        <v>0.47625000000000001</v>
      </c>
      <c r="F72" s="115">
        <f>'R4 - Incentives and Other Rev'!F18</f>
        <v>0.47625000000000001</v>
      </c>
      <c r="G72" s="115">
        <f>'R4 - Incentives and Other Rev'!G18</f>
        <v>0.46633505395836183</v>
      </c>
      <c r="H72" s="115">
        <f>'R4 - Incentives and Other Rev'!H18</f>
        <v>0.43181132789161736</v>
      </c>
      <c r="I72" s="329"/>
      <c r="J72" s="46">
        <f>SUM(D72:INDEX(D72:H72,0,MATCH('RFPR cover'!$C$9,$D$6:$H$6,0)))</f>
        <v>0.47625000000000001</v>
      </c>
      <c r="K72" s="46">
        <f t="shared" si="20"/>
        <v>2.3268963818499788</v>
      </c>
      <c r="L72" s="88"/>
    </row>
    <row r="73" spans="1:12">
      <c r="A73" s="78" t="s">
        <v>201</v>
      </c>
      <c r="B73" s="660" t="str">
        <f>'R4 - Incentives and Other Rev'!B19</f>
        <v>Collaborative streetworks ODI [Cadent Lon &amp; EoE, SGN So only]</v>
      </c>
      <c r="C73" s="460" t="str">
        <f>Data!$C$9</f>
        <v>£m 18/19</v>
      </c>
      <c r="D73" s="115">
        <f>'R4 - Incentives and Other Rev'!D19</f>
        <v>0</v>
      </c>
      <c r="E73" s="115">
        <f>'R4 - Incentives and Other Rev'!E19</f>
        <v>0</v>
      </c>
      <c r="F73" s="115">
        <f>'R4 - Incentives and Other Rev'!F19</f>
        <v>0</v>
      </c>
      <c r="G73" s="115">
        <f>'R4 - Incentives and Other Rev'!G19</f>
        <v>0</v>
      </c>
      <c r="H73" s="115">
        <f>'R4 - Incentives and Other Rev'!H19</f>
        <v>0</v>
      </c>
      <c r="I73" s="329"/>
      <c r="J73" s="46">
        <f>SUM(D73:INDEX(D73:H73,0,MATCH('RFPR cover'!$C$9,$D$6:$H$6,0)))</f>
        <v>0</v>
      </c>
      <c r="K73" s="46">
        <f t="shared" si="20"/>
        <v>0</v>
      </c>
      <c r="L73" s="88"/>
    </row>
    <row r="74" spans="1:12">
      <c r="A74" s="78" t="s">
        <v>202</v>
      </c>
      <c r="B74" s="660" t="str">
        <f>'R4 - Incentives and Other Rev'!B41</f>
        <v>Network innovation input for RORE</v>
      </c>
      <c r="C74" s="460" t="str">
        <f>Data!$C$9</f>
        <v>£m 18/19</v>
      </c>
      <c r="D74" s="115">
        <f>-'R4 - Incentives and Other Rev'!D41</f>
        <v>-4.344645607780856E-2</v>
      </c>
      <c r="E74" s="115">
        <f>-'R4 - Incentives and Other Rev'!E41</f>
        <v>-0.18833250534046853</v>
      </c>
      <c r="F74" s="115">
        <f>-'R4 - Incentives and Other Rev'!F41</f>
        <v>-0.2185689526002208</v>
      </c>
      <c r="G74" s="115">
        <f>-'R4 - Incentives and Other Rev'!G41</f>
        <v>-0.2185689526002208</v>
      </c>
      <c r="H74" s="115">
        <f>-'R4 - Incentives and Other Rev'!H41</f>
        <v>-0.2185689526002208</v>
      </c>
      <c r="I74" s="88"/>
      <c r="J74" s="46">
        <f>SUM(D74:INDEX(D74:H74,0,MATCH('RFPR cover'!$C$9,$D$6:$H$6,0)))</f>
        <v>-4.344645607780856E-2</v>
      </c>
      <c r="K74" s="46">
        <f t="shared" si="20"/>
        <v>-0.88748581921893943</v>
      </c>
      <c r="L74" s="88"/>
    </row>
    <row r="75" spans="1:12">
      <c r="A75" s="78" t="s">
        <v>203</v>
      </c>
      <c r="B75" s="660" t="str">
        <f>'R4 - Incentives and Other Rev'!B48</f>
        <v>Carry-over Network innovation input for RORE</v>
      </c>
      <c r="C75" s="460" t="str">
        <f>Data!$C$9</f>
        <v>£m 18/19</v>
      </c>
      <c r="D75" s="115">
        <f>-'R4 - Incentives and Other Rev'!D48</f>
        <v>-7.6716386983830209E-2</v>
      </c>
      <c r="E75" s="115">
        <f>-'R4 - Incentives and Other Rev'!E48</f>
        <v>0</v>
      </c>
      <c r="F75" s="115">
        <f>-'R4 - Incentives and Other Rev'!F48</f>
        <v>0</v>
      </c>
      <c r="G75" s="115">
        <f>-'R4 - Incentives and Other Rev'!G48</f>
        <v>0</v>
      </c>
      <c r="H75" s="115">
        <f>-'R4 - Incentives and Other Rev'!H48</f>
        <v>0</v>
      </c>
      <c r="I75" s="88"/>
      <c r="J75" s="46">
        <f>SUM(D75:INDEX(D75:H75,0,MATCH('RFPR cover'!$C$9,$D$6:$H$6,0)))</f>
        <v>-7.6716386983830209E-2</v>
      </c>
      <c r="K75" s="46">
        <f t="shared" si="20"/>
        <v>-7.6716386983830209E-2</v>
      </c>
      <c r="L75" s="88"/>
    </row>
    <row r="76" spans="1:12">
      <c r="A76" s="78" t="s">
        <v>204</v>
      </c>
      <c r="B76" s="660" t="str">
        <f>'R4 - Incentives and Other Rev'!B55</f>
        <v>Strategic innovation input for RORE</v>
      </c>
      <c r="C76" s="460" t="str">
        <f>Data!$C$9</f>
        <v>£m 18/19</v>
      </c>
      <c r="D76" s="115">
        <f>-'R4 - Incentives and Other Rev'!D55</f>
        <v>0</v>
      </c>
      <c r="E76" s="115">
        <f>-'R4 - Incentives and Other Rev'!E55</f>
        <v>0</v>
      </c>
      <c r="F76" s="115">
        <f>-'R4 - Incentives and Other Rev'!F55</f>
        <v>0</v>
      </c>
      <c r="G76" s="115">
        <f>-'R4 - Incentives and Other Rev'!G55</f>
        <v>0</v>
      </c>
      <c r="H76" s="115">
        <f>-'R4 - Incentives and Other Rev'!H55</f>
        <v>0</v>
      </c>
      <c r="I76" s="88"/>
      <c r="J76" s="46"/>
      <c r="K76" s="46"/>
      <c r="L76" s="88"/>
    </row>
    <row r="77" spans="1:12">
      <c r="A77" s="78" t="s">
        <v>205</v>
      </c>
      <c r="B77" s="660" t="str">
        <f>'R4 - Incentives and Other Rev'!B62</f>
        <v/>
      </c>
      <c r="C77" s="460" t="str">
        <f>Data!$C$9</f>
        <v>£m 18/19</v>
      </c>
      <c r="D77" s="116">
        <f>'R4 - Incentives and Other Rev'!D62</f>
        <v>0</v>
      </c>
      <c r="E77" s="116">
        <f>'R4 - Incentives and Other Rev'!E62</f>
        <v>0</v>
      </c>
      <c r="F77" s="116">
        <f>'R4 - Incentives and Other Rev'!F62</f>
        <v>0</v>
      </c>
      <c r="G77" s="116">
        <f>'R4 - Incentives and Other Rev'!G62</f>
        <v>0</v>
      </c>
      <c r="H77" s="116">
        <f>'R4 - Incentives and Other Rev'!H62</f>
        <v>0</v>
      </c>
      <c r="I77" s="88"/>
      <c r="J77" s="46">
        <f>SUM(D77:INDEX(D77:H77,0,MATCH('RFPR cover'!$C$9,$D$6:$H$6,0)))</f>
        <v>0</v>
      </c>
      <c r="K77" s="46">
        <f t="shared" si="20"/>
        <v>0</v>
      </c>
      <c r="L77" s="88"/>
    </row>
    <row r="78" spans="1:12">
      <c r="A78" s="78" t="s">
        <v>206</v>
      </c>
      <c r="B78" s="660" t="str">
        <f>'R4 - Incentives and Other Rev'!B63</f>
        <v/>
      </c>
      <c r="C78" s="460" t="str">
        <f>Data!$C$9</f>
        <v>£m 18/19</v>
      </c>
      <c r="D78" s="116">
        <f>'R4 - Incentives and Other Rev'!D63</f>
        <v>0</v>
      </c>
      <c r="E78" s="116">
        <f>'R4 - Incentives and Other Rev'!E63</f>
        <v>0</v>
      </c>
      <c r="F78" s="116">
        <f>'R4 - Incentives and Other Rev'!F63</f>
        <v>0</v>
      </c>
      <c r="G78" s="116">
        <f>'R4 - Incentives and Other Rev'!G63</f>
        <v>0</v>
      </c>
      <c r="H78" s="116">
        <f>'R4 - Incentives and Other Rev'!H63</f>
        <v>0</v>
      </c>
      <c r="I78" s="88"/>
      <c r="J78" s="46">
        <f>SUM(D78:INDEX(D78:H78,0,MATCH('RFPR cover'!$C$9,$D$6:$H$6,0)))</f>
        <v>0</v>
      </c>
      <c r="K78" s="46">
        <f t="shared" si="20"/>
        <v>0</v>
      </c>
      <c r="L78" s="88"/>
    </row>
    <row r="79" spans="1:12">
      <c r="A79" s="78" t="s">
        <v>207</v>
      </c>
      <c r="B79" s="660" t="str">
        <f>'R4 - Incentives and Other Rev'!B64</f>
        <v/>
      </c>
      <c r="C79" s="460" t="str">
        <f>Data!$C$9</f>
        <v>£m 18/19</v>
      </c>
      <c r="D79" s="116">
        <f>'R4 - Incentives and Other Rev'!D64</f>
        <v>0</v>
      </c>
      <c r="E79" s="116">
        <f>'R4 - Incentives and Other Rev'!E64</f>
        <v>0</v>
      </c>
      <c r="F79" s="116">
        <f>'R4 - Incentives and Other Rev'!F64</f>
        <v>0</v>
      </c>
      <c r="G79" s="116">
        <f>'R4 - Incentives and Other Rev'!G64</f>
        <v>0</v>
      </c>
      <c r="H79" s="116">
        <f>'R4 - Incentives and Other Rev'!H64</f>
        <v>0</v>
      </c>
      <c r="I79" s="88"/>
      <c r="J79" s="46">
        <f>SUM(D79:INDEX(D79:H79,0,MATCH('RFPR cover'!$C$9,$D$6:$H$6,0)))</f>
        <v>0</v>
      </c>
      <c r="K79" s="46">
        <f t="shared" si="20"/>
        <v>0</v>
      </c>
      <c r="L79" s="88"/>
    </row>
    <row r="80" spans="1:12">
      <c r="A80" s="78" t="s">
        <v>208</v>
      </c>
      <c r="B80" s="660" t="str">
        <f>'R4 - Incentives and Other Rev'!B65</f>
        <v/>
      </c>
      <c r="C80" s="460" t="str">
        <f>Data!$C$9</f>
        <v>£m 18/19</v>
      </c>
      <c r="D80" s="116">
        <f>'R4 - Incentives and Other Rev'!D65</f>
        <v>0</v>
      </c>
      <c r="E80" s="116">
        <f>'R4 - Incentives and Other Rev'!E65</f>
        <v>0</v>
      </c>
      <c r="F80" s="116">
        <f>'R4 - Incentives and Other Rev'!F65</f>
        <v>0</v>
      </c>
      <c r="G80" s="116">
        <f>'R4 - Incentives and Other Rev'!G65</f>
        <v>0</v>
      </c>
      <c r="H80" s="116">
        <f>'R4 - Incentives and Other Rev'!H65</f>
        <v>0</v>
      </c>
      <c r="I80" s="88"/>
      <c r="J80" s="46">
        <f>SUM(D80:INDEX(D80:H80,0,MATCH('RFPR cover'!$C$9,$D$6:$H$6,0)))</f>
        <v>0</v>
      </c>
      <c r="K80" s="46">
        <f>SUM(D80:H80)</f>
        <v>0</v>
      </c>
      <c r="L80" s="88"/>
    </row>
    <row r="81" spans="1:14">
      <c r="A81" s="78" t="s">
        <v>209</v>
      </c>
      <c r="B81" s="660" t="str">
        <f>'R4 - Incentives and Other Rev'!B66</f>
        <v/>
      </c>
      <c r="C81" s="460" t="str">
        <f>Data!$C$9</f>
        <v>£m 18/19</v>
      </c>
      <c r="D81" s="116">
        <f>'R4 - Incentives and Other Rev'!D66</f>
        <v>0</v>
      </c>
      <c r="E81" s="116">
        <f>'R4 - Incentives and Other Rev'!E66</f>
        <v>0</v>
      </c>
      <c r="F81" s="116">
        <f>'R4 - Incentives and Other Rev'!F66</f>
        <v>0</v>
      </c>
      <c r="G81" s="116">
        <f>'R4 - Incentives and Other Rev'!G66</f>
        <v>0</v>
      </c>
      <c r="H81" s="116">
        <f>'R4 - Incentives and Other Rev'!H66</f>
        <v>0</v>
      </c>
      <c r="I81" s="88"/>
      <c r="J81" s="46">
        <f>SUM(D81:INDEX(D81:H81,0,MATCH('RFPR cover'!$C$9,$D$6:$H$6,0)))</f>
        <v>0</v>
      </c>
      <c r="K81" s="46">
        <f>SUM(D81:H81)</f>
        <v>0</v>
      </c>
      <c r="L81" s="88"/>
    </row>
    <row r="82" spans="1:14" ht="12.75" thickBot="1">
      <c r="B82" s="458" t="s">
        <v>217</v>
      </c>
      <c r="C82" s="460" t="str">
        <f>Data!$C$9</f>
        <v>£m 18/19</v>
      </c>
      <c r="D82" s="116">
        <f>-'R10 - Pensions &amp; Oth Activities'!D54</f>
        <v>-0.56163558666096347</v>
      </c>
      <c r="E82" s="116">
        <f>-'R10 - Pensions &amp; Oth Activities'!E54</f>
        <v>-0.48289486932399345</v>
      </c>
      <c r="F82" s="116">
        <f>-'R10 - Pensions &amp; Oth Activities'!F54</f>
        <v>-0.46735506280763089</v>
      </c>
      <c r="G82" s="116">
        <f>-'R10 - Pensions &amp; Oth Activities'!G54</f>
        <v>-0.45956810891975614</v>
      </c>
      <c r="H82" s="116">
        <f>-'R10 - Pensions &amp; Oth Activities'!H54</f>
        <v>-0.45095275182556227</v>
      </c>
      <c r="I82" s="88"/>
      <c r="J82" s="412">
        <f>SUM(D82:INDEX(D82:H82,0,MATCH('RFPR cover'!$C$9,$D$6:$H$6,0)))</f>
        <v>-0.56163558666096347</v>
      </c>
      <c r="K82" s="412">
        <f t="shared" si="20"/>
        <v>-2.4224063795379061</v>
      </c>
      <c r="L82" s="88"/>
    </row>
    <row r="83" spans="1:14" ht="12.75" thickBot="1">
      <c r="B83" s="459" t="s">
        <v>218</v>
      </c>
      <c r="C83" s="461" t="str">
        <f>Data!$C$9</f>
        <v>£m 18/19</v>
      </c>
      <c r="D83" s="434">
        <f>SUM(D65:D82)</f>
        <v>44.666876566129922</v>
      </c>
      <c r="E83" s="436">
        <f>SUM(E65:E82)</f>
        <v>45.428126173080074</v>
      </c>
      <c r="F83" s="436">
        <f>SUM(F65:F82)</f>
        <v>48.96710012135879</v>
      </c>
      <c r="G83" s="436">
        <f>SUM(G65:G82)</f>
        <v>44.464867103096609</v>
      </c>
      <c r="H83" s="435">
        <f>SUM(H65:H82)</f>
        <v>45.010948813866001</v>
      </c>
      <c r="I83" s="243"/>
      <c r="J83" s="434">
        <f>SUM(J65:J82)</f>
        <v>44.666876566129922</v>
      </c>
      <c r="K83" s="435">
        <f>SUM(K65:K82)</f>
        <v>228.53791877753142</v>
      </c>
      <c r="L83" s="88"/>
    </row>
    <row r="84" spans="1:14">
      <c r="B84" s="458" t="s">
        <v>219</v>
      </c>
      <c r="C84" s="460" t="str">
        <f>Data!$C$9</f>
        <v>£m 18/19</v>
      </c>
      <c r="D84" s="462">
        <f>IFERROR('R5 - Financing'!D85+'R8 - Tax'!E67,0)</f>
        <v>21.868968097613532</v>
      </c>
      <c r="E84" s="462">
        <f>IFERROR('R5 - Financing'!E85+'R8 - Tax'!F67,0)</f>
        <v>59.751694031701312</v>
      </c>
      <c r="F84" s="462">
        <f>IFERROR('R5 - Financing'!F85+'R8 - Tax'!G67,0)</f>
        <v>16.458839560049576</v>
      </c>
      <c r="G84" s="462">
        <f>IFERROR('R5 - Financing'!G85+'R8 - Tax'!H67,0)</f>
        <v>7.3918979364435513</v>
      </c>
      <c r="H84" s="462">
        <f>IFERROR('R5 - Financing'!H85+'R8 - Tax'!I67,0)</f>
        <v>9.8220115157610248</v>
      </c>
      <c r="I84" s="88"/>
      <c r="J84" s="433">
        <f>SUM(D84:INDEX(D84:H84,0,MATCH('RFPR cover'!$C$9,$D$6:$H$6,0)))</f>
        <v>21.868968097613532</v>
      </c>
      <c r="K84" s="433">
        <f>SUM(D84:H84)</f>
        <v>115.29341114156898</v>
      </c>
      <c r="L84" s="88"/>
    </row>
    <row r="85" spans="1:14">
      <c r="B85" s="458" t="s">
        <v>220</v>
      </c>
      <c r="C85" s="460" t="str">
        <f>Data!$C$9</f>
        <v>£m 18/19</v>
      </c>
      <c r="D85" s="463">
        <f>IFERROR('R5 - Financing'!D87+'R8 - Tax'!E68,0)</f>
        <v>0.55401943701446887</v>
      </c>
      <c r="E85" s="463">
        <f>IFERROR('R5 - Financing'!E87+'R8 - Tax'!F68,0)</f>
        <v>1.2364231570507496</v>
      </c>
      <c r="F85" s="463">
        <f>IFERROR('R5 - Financing'!F87+'R8 - Tax'!G68,0)</f>
        <v>-0.90496180689282557</v>
      </c>
      <c r="G85" s="463">
        <f>IFERROR('R5 - Financing'!G87+'R8 - Tax'!H68,0)</f>
        <v>-0.64494752796580901</v>
      </c>
      <c r="H85" s="463">
        <f>IFERROR('R5 - Financing'!H87+'R8 - Tax'!I68,0)</f>
        <v>-8.0784743376519641E-2</v>
      </c>
      <c r="I85" s="88"/>
      <c r="J85" s="46">
        <f>SUM(D85:INDEX(D85:H85,0,MATCH('RFPR cover'!$C$9,$D$6:$H$6,0)))</f>
        <v>0.55401943701446887</v>
      </c>
      <c r="K85" s="46">
        <f>SUM(D85:H85)</f>
        <v>0.15974851583006422</v>
      </c>
      <c r="L85" s="88"/>
    </row>
    <row r="86" spans="1:14">
      <c r="B86" s="458" t="s">
        <v>221</v>
      </c>
      <c r="C86" s="460" t="str">
        <f>Data!$C$9</f>
        <v>£m 18/19</v>
      </c>
      <c r="D86" s="463">
        <f>'R8 - Tax'!E60-'R8 - Tax'!E67</f>
        <v>-4.0827493671303063</v>
      </c>
      <c r="E86" s="463">
        <f>'R8 - Tax'!F60-'R8 - Tax'!F67</f>
        <v>-18.204012194317748</v>
      </c>
      <c r="F86" s="463">
        <f>'R8 - Tax'!G60-'R8 - Tax'!G67</f>
        <v>3.5641587673721826</v>
      </c>
      <c r="G86" s="463">
        <f>'R8 - Tax'!H60-'R8 - Tax'!H67</f>
        <v>0.75724660160123514</v>
      </c>
      <c r="H86" s="463">
        <f>'R8 - Tax'!I60-'R8 - Tax'!I67</f>
        <v>-0.42153257609898254</v>
      </c>
      <c r="I86" s="88"/>
      <c r="J86" s="46">
        <f>SUM(D86:INDEX(D86:H86,0,MATCH('RFPR cover'!$C$9,$D$6:$H$6,0)))</f>
        <v>-4.0827493671303063</v>
      </c>
      <c r="K86" s="46">
        <f>SUM(D86:H86)</f>
        <v>-18.386888768573616</v>
      </c>
      <c r="L86" s="88"/>
    </row>
    <row r="87" spans="1:14" ht="12.75" thickBot="1">
      <c r="B87" s="458" t="s">
        <v>222</v>
      </c>
      <c r="C87" s="460" t="str">
        <f>Data!$C$9</f>
        <v>£m 18/19</v>
      </c>
      <c r="D87" s="464">
        <f>'R8 - Tax'!E62-'R8 - Tax'!E68</f>
        <v>2.2204460492503131E-15</v>
      </c>
      <c r="E87" s="464">
        <f>'R8 - Tax'!F62-'R8 - Tax'!F68</f>
        <v>-1.7763568394002505E-15</v>
      </c>
      <c r="F87" s="464">
        <f>'R8 - Tax'!G62-'R8 - Tax'!G68</f>
        <v>-2.6645352591003757E-15</v>
      </c>
      <c r="G87" s="464">
        <f>'R8 - Tax'!H62-'R8 - Tax'!H68</f>
        <v>8.8817841970012523E-16</v>
      </c>
      <c r="H87" s="464">
        <f>'R8 - Tax'!I62-'R8 - Tax'!I68</f>
        <v>1.5543122344752192E-15</v>
      </c>
      <c r="I87" s="88"/>
      <c r="J87" s="412">
        <f>SUM(D87:INDEX(D87:H87,0,MATCH('RFPR cover'!$C$9,$D$6:$H$6,0)))</f>
        <v>2.2204460492503131E-15</v>
      </c>
      <c r="K87" s="412">
        <f>SUM(D87:H87)</f>
        <v>2.2204460492503131E-16</v>
      </c>
      <c r="L87" s="88"/>
    </row>
    <row r="88" spans="1:14" ht="12.75" thickBot="1">
      <c r="B88" s="459" t="s">
        <v>223</v>
      </c>
      <c r="C88" s="461" t="str">
        <f>Data!$C$9</f>
        <v>£m 18/19</v>
      </c>
      <c r="D88" s="624">
        <f>IF(OR(Licensee=Data!$B$78,Licensee=Data!$B$81),"N/A",SUM(D83:D87))</f>
        <v>63.007114733627631</v>
      </c>
      <c r="E88" s="624">
        <f>IF(OR(Licensee=Data!$B$78,Licensee=Data!$B$81),"N/A",SUM(E83:E87))</f>
        <v>88.212231167514375</v>
      </c>
      <c r="F88" s="624">
        <f>IF(OR(Licensee=Data!$B$78,Licensee=Data!$B$81),"N/A",SUM(F83:F87))</f>
        <v>68.085136641887715</v>
      </c>
      <c r="G88" s="624">
        <f>IF(OR(Licensee=Data!$B$78,Licensee=Data!$B$81),"N/A",SUM(G83:G87))</f>
        <v>51.969064113175584</v>
      </c>
      <c r="H88" s="624">
        <f>IF(OR(Licensee=Data!$B$78,Licensee=Data!$B$81),"N/A",SUM(H83:H87))</f>
        <v>54.330643010151526</v>
      </c>
      <c r="I88" s="243"/>
      <c r="J88" s="434">
        <f>SUM(J83:J87)</f>
        <v>63.007114733627631</v>
      </c>
      <c r="K88" s="435">
        <f>SUM(K83:K87)</f>
        <v>325.60418966635689</v>
      </c>
      <c r="L88" s="88"/>
    </row>
    <row r="89" spans="1:14">
      <c r="D89" s="437"/>
      <c r="I89" s="88"/>
      <c r="L89" s="88"/>
      <c r="N89" s="88"/>
    </row>
    <row r="90" spans="1:14">
      <c r="B90" s="623" t="s">
        <v>224</v>
      </c>
      <c r="C90" s="460" t="str">
        <f>Data!$C$9</f>
        <v>£m 18/19</v>
      </c>
      <c r="D90" s="114">
        <f>'R7 - RAV'!E40</f>
        <v>916.81544886240454</v>
      </c>
      <c r="E90" s="84">
        <f>'R7 - RAV'!F40</f>
        <v>930.42607353283893</v>
      </c>
      <c r="F90" s="84">
        <f>'R7 - RAV'!G40</f>
        <v>939.04386568562609</v>
      </c>
      <c r="G90" s="84">
        <f>'R7 - RAV'!H40</f>
        <v>943.56764068279836</v>
      </c>
      <c r="H90" s="84">
        <f>'R7 - RAV'!I40</f>
        <v>942.66811450777755</v>
      </c>
      <c r="I90" s="88"/>
      <c r="L90" s="88"/>
    </row>
    <row r="91" spans="1:14">
      <c r="B91" s="458" t="s">
        <v>225</v>
      </c>
      <c r="C91" s="460" t="str">
        <f>Data!$C$9</f>
        <v>£m 18/19</v>
      </c>
      <c r="D91" s="117">
        <f>IFERROR('R6 - Net Debt'!D63,0)</f>
        <v>982.04887200928783</v>
      </c>
      <c r="E91" s="117">
        <f>IFERROR('R6 - Net Debt'!E63,0)</f>
        <v>869.22652261695987</v>
      </c>
      <c r="F91" s="117">
        <f>IFERROR('R6 - Net Debt'!F63,0)</f>
        <v>858.17278880014635</v>
      </c>
      <c r="G91" s="117">
        <f>IFERROR('R6 - Net Debt'!G63,0)</f>
        <v>905.69046860809078</v>
      </c>
      <c r="H91" s="117">
        <f>IFERROR('R6 - Net Debt'!H63,0)</f>
        <v>937.25676129452972</v>
      </c>
      <c r="I91" s="88"/>
      <c r="L91" s="88"/>
    </row>
    <row r="92" spans="1:14">
      <c r="L92" s="88"/>
    </row>
    <row r="93" spans="1:14">
      <c r="L93" s="88"/>
    </row>
    <row r="94" spans="1:14">
      <c r="L94" s="88"/>
    </row>
  </sheetData>
  <phoneticPr fontId="251" type="noConversion"/>
  <conditionalFormatting sqref="D6:G6">
    <cfRule type="expression" dxfId="100" priority="8">
      <formula>AND(D$5="Actuals",E$5="Forecast")</formula>
    </cfRule>
  </conditionalFormatting>
  <conditionalFormatting sqref="H6">
    <cfRule type="expression" dxfId="99" priority="201">
      <formula>AND(H$5="Actuals",#REF!="Forecast")</formula>
    </cfRule>
  </conditionalFormatting>
  <conditionalFormatting sqref="D7:H7">
    <cfRule type="expression" dxfId="98" priority="2">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T141"/>
  <sheetViews>
    <sheetView showGridLines="0" zoomScale="75" zoomScaleNormal="115" workbookViewId="0">
      <pane ySplit="7" topLeftCell="A103" activePane="bottomLeft" state="frozen"/>
      <selection pane="bottomLeft" activeCell="K95" sqref="K95"/>
    </sheetView>
  </sheetViews>
  <sheetFormatPr defaultRowHeight="12.4" outlineLevelCol="1"/>
  <cols>
    <col min="1" max="1" width="8.3515625" customWidth="1"/>
    <col min="2" max="2" width="58.3515625" style="88" customWidth="1"/>
    <col min="3" max="3" width="22.1171875" style="88" customWidth="1"/>
    <col min="4" max="4" width="13.3515625" style="69" customWidth="1"/>
    <col min="5" max="9" width="11.1171875" customWidth="1"/>
    <col min="10" max="10" width="5" customWidth="1"/>
    <col min="11" max="20" width="9.234375" customWidth="1" outlineLevel="1"/>
  </cols>
  <sheetData>
    <row r="1" spans="1:10" ht="20.65">
      <c r="A1" s="777" t="s">
        <v>226</v>
      </c>
      <c r="B1" s="400"/>
      <c r="C1" s="400"/>
      <c r="D1" s="401"/>
      <c r="E1" s="402"/>
      <c r="F1" s="402"/>
      <c r="G1" s="402"/>
      <c r="H1" s="402"/>
      <c r="I1" s="402"/>
      <c r="J1" s="782"/>
    </row>
    <row r="2" spans="1:10" ht="20.65">
      <c r="A2" s="295" t="str">
        <f t="shared" ref="A2" si="0">Licensee</f>
        <v>Cadent-NW</v>
      </c>
      <c r="B2" s="298"/>
      <c r="C2" s="298"/>
      <c r="D2" s="68"/>
      <c r="E2" s="16"/>
      <c r="F2" s="16"/>
      <c r="G2" s="16"/>
      <c r="H2" s="16"/>
      <c r="I2" s="16"/>
      <c r="J2" s="65"/>
    </row>
    <row r="3" spans="1:10" ht="20.65">
      <c r="A3" s="290">
        <f>Reporting_Year</f>
        <v>2022</v>
      </c>
      <c r="B3" s="579"/>
      <c r="C3" s="579"/>
      <c r="D3" s="580"/>
      <c r="E3" s="577"/>
      <c r="F3" s="577"/>
      <c r="G3" s="577"/>
      <c r="H3" s="577"/>
      <c r="I3" s="577"/>
      <c r="J3" s="119"/>
    </row>
    <row r="4" spans="1:10" s="2" customFormat="1" ht="12.75" customHeight="1">
      <c r="B4" s="66"/>
      <c r="C4" s="66"/>
      <c r="D4" s="69"/>
    </row>
    <row r="5" spans="1:10" s="2" customFormat="1">
      <c r="B5" s="66"/>
      <c r="C5" s="66"/>
      <c r="D5" s="69"/>
      <c r="E5" s="153" t="str">
        <f>IF(E6&lt;=Reporting_Year,"Actuals","Forecast")</f>
        <v>Actuals</v>
      </c>
      <c r="F5" s="153" t="str">
        <f>IF(F6&lt;=Reporting_Year,"Actuals","Forecast")</f>
        <v>Forecast</v>
      </c>
      <c r="G5" s="153" t="str">
        <f>IF(G6&lt;=Reporting_Year,"Actuals","Forecast")</f>
        <v>Forecast</v>
      </c>
      <c r="H5" s="153" t="str">
        <f>IF(H6&lt;=Reporting_Year,"Actuals","Forecast")</f>
        <v>Forecast</v>
      </c>
      <c r="I5" s="153" t="str">
        <f>IF(I6&lt;=Reporting_Year,"Actuals","Forecast")</f>
        <v>Forecast</v>
      </c>
    </row>
    <row r="6" spans="1:10" s="2" customFormat="1">
      <c r="B6" s="66"/>
      <c r="C6" s="66"/>
      <c r="D6" s="69"/>
      <c r="E6" s="320">
        <f>RIIO_2_start_date</f>
        <v>2022</v>
      </c>
      <c r="F6" s="320">
        <f>E6+1</f>
        <v>2023</v>
      </c>
      <c r="G6" s="320">
        <f>F6+1</f>
        <v>2024</v>
      </c>
      <c r="H6" s="320">
        <f t="shared" ref="H6:I6" si="1">G6+1</f>
        <v>2025</v>
      </c>
      <c r="I6" s="320">
        <f t="shared" si="1"/>
        <v>2026</v>
      </c>
    </row>
    <row r="7" spans="1:10" s="2" customFormat="1">
      <c r="B7" s="240"/>
      <c r="C7" s="240"/>
      <c r="D7" s="75"/>
      <c r="E7" s="42" t="str">
        <f>RIIO_2_start_date-1&amp;"/"&amp;RIGHT(RIIO_2_start_date,2)</f>
        <v>2021/22</v>
      </c>
      <c r="F7" s="42" t="str">
        <f>RIIO_2_start_date&amp;"/"&amp;RIGHT(RIIO_2_start_date+1,2)</f>
        <v>2022/23</v>
      </c>
      <c r="G7" s="42" t="str">
        <f>RIIO_2_start_date+1&amp;"/"&amp;RIGHT(RIIO_2_start_date+2,2)</f>
        <v>2023/24</v>
      </c>
      <c r="H7" s="42" t="str">
        <f>RIIO_2_start_date+2&amp;"/"&amp;RIGHT(RIIO_2_start_date+3,2)</f>
        <v>2024/25</v>
      </c>
      <c r="I7" s="42" t="str">
        <f>RIIO_2_start_date+3&amp;"/"&amp;RIGHT(RIIO_2_start_date+4,2)</f>
        <v>2025/26</v>
      </c>
    </row>
    <row r="8" spans="1:10" s="2" customFormat="1">
      <c r="B8" s="240"/>
      <c r="C8" s="240"/>
      <c r="D8" s="75"/>
      <c r="E8" s="28"/>
      <c r="F8" s="28"/>
      <c r="G8" s="28"/>
      <c r="H8" s="28"/>
      <c r="I8" s="28"/>
    </row>
    <row r="9" spans="1:10" s="2" customFormat="1">
      <c r="B9" s="241" t="s">
        <v>227</v>
      </c>
      <c r="C9" s="241"/>
      <c r="D9" s="73"/>
      <c r="E9" s="40"/>
      <c r="F9" s="40"/>
      <c r="G9" s="40"/>
      <c r="H9" s="40"/>
      <c r="I9" s="40"/>
      <c r="J9" s="41"/>
    </row>
    <row r="10" spans="1:10" s="2" customFormat="1">
      <c r="B10" s="240"/>
      <c r="C10" s="240"/>
      <c r="D10" s="75"/>
      <c r="E10" s="28"/>
      <c r="F10" s="28"/>
      <c r="G10" s="28"/>
      <c r="H10" s="28"/>
      <c r="I10" s="28"/>
    </row>
    <row r="11" spans="1:10" s="2" customFormat="1">
      <c r="B11" s="666" t="s">
        <v>228</v>
      </c>
      <c r="C11" s="240"/>
      <c r="D11" s="69"/>
    </row>
    <row r="12" spans="1:10" s="2" customFormat="1">
      <c r="B12" s="155"/>
      <c r="C12" s="240"/>
      <c r="D12" s="69"/>
    </row>
    <row r="13" spans="1:10" s="2" customFormat="1">
      <c r="B13" s="242" t="s">
        <v>229</v>
      </c>
      <c r="C13" s="27" t="str">
        <f>IF(Licensee="NGGT (SO)","SORt* x  PIt* / PI2018/19","Rt* x  PIt* / PI2018/19")</f>
        <v>Rt* x  PIt* / PI2018/19</v>
      </c>
      <c r="D13" s="74" t="s">
        <v>230</v>
      </c>
      <c r="E13" s="308">
        <v>439.61150937658181</v>
      </c>
      <c r="F13" s="308"/>
      <c r="G13" s="308"/>
      <c r="H13" s="308"/>
      <c r="I13" s="308"/>
    </row>
    <row r="14" spans="1:10" s="2" customFormat="1">
      <c r="B14" s="242" t="s">
        <v>231</v>
      </c>
      <c r="C14" s="310" t="str">
        <f>IF(Licensee="NGGT (SO)","SOADJt*","ADJt*")</f>
        <v>ADJt*</v>
      </c>
      <c r="D14" s="74" t="s">
        <v>230</v>
      </c>
      <c r="E14" s="308">
        <v>0</v>
      </c>
      <c r="F14" s="308"/>
      <c r="G14" s="308"/>
      <c r="H14" s="308"/>
      <c r="I14" s="308"/>
    </row>
    <row r="15" spans="1:10" s="2" customFormat="1">
      <c r="B15" s="242" t="s">
        <v>232</v>
      </c>
      <c r="C15" s="310" t="str">
        <f>IF(Licensee="NGGT (SO)","SOADJRt*","ADJRt*")</f>
        <v>ADJRt*</v>
      </c>
      <c r="D15" s="74" t="s">
        <v>230</v>
      </c>
      <c r="E15" s="221">
        <f>SUM(E13:E14)</f>
        <v>439.61150937658181</v>
      </c>
      <c r="F15" s="221">
        <f t="shared" ref="F15:I15" si="2">SUM(F13:F14)</f>
        <v>0</v>
      </c>
      <c r="G15" s="221">
        <f t="shared" si="2"/>
        <v>0</v>
      </c>
      <c r="H15" s="221">
        <f t="shared" si="2"/>
        <v>0</v>
      </c>
      <c r="I15" s="221">
        <f t="shared" si="2"/>
        <v>0</v>
      </c>
    </row>
    <row r="16" spans="1:10" s="2" customFormat="1">
      <c r="B16" s="242" t="s">
        <v>233</v>
      </c>
      <c r="C16" s="310" t="str">
        <f>IF(OR(Licensee="Cadent",Licensee="NGGT (SO)"),"SOLARt","LARt")</f>
        <v>LARt</v>
      </c>
      <c r="D16" s="74" t="s">
        <v>230</v>
      </c>
      <c r="E16" s="308">
        <v>13.896656783962017</v>
      </c>
      <c r="F16" s="308"/>
      <c r="G16" s="308"/>
      <c r="H16" s="308"/>
      <c r="I16" s="308"/>
    </row>
    <row r="17" spans="2:10" s="2" customFormat="1">
      <c r="B17" s="242" t="s">
        <v>234</v>
      </c>
      <c r="C17" s="310" t="str">
        <f>IF(Licensee="NGGT (SO)","SOKt","Kt")</f>
        <v>Kt</v>
      </c>
      <c r="D17" s="74" t="s">
        <v>230</v>
      </c>
      <c r="E17" s="308">
        <v>2.2402549021590343</v>
      </c>
      <c r="F17" s="308"/>
      <c r="G17" s="308"/>
      <c r="H17" s="308"/>
      <c r="I17" s="308"/>
    </row>
    <row r="18" spans="2:10" s="2" customFormat="1">
      <c r="B18" s="240" t="s">
        <v>235</v>
      </c>
      <c r="C18" s="240" t="str">
        <f>IF(Licensee="Cadent","SOIARt",IF(Licensee="NGGT (SO)","SOARt","ARt"))</f>
        <v>ARt</v>
      </c>
      <c r="D18" s="75" t="s">
        <v>230</v>
      </c>
      <c r="E18" s="207">
        <f>SUM(E15:E17)</f>
        <v>455.7484210627029</v>
      </c>
      <c r="F18" s="207">
        <f t="shared" ref="F18:I18" si="3">SUM(F15:F17)</f>
        <v>0</v>
      </c>
      <c r="G18" s="207">
        <f t="shared" si="3"/>
        <v>0</v>
      </c>
      <c r="H18" s="207">
        <f t="shared" si="3"/>
        <v>0</v>
      </c>
      <c r="I18" s="207">
        <f t="shared" si="3"/>
        <v>0</v>
      </c>
    </row>
    <row r="19" spans="2:10" s="2" customFormat="1">
      <c r="B19" s="66"/>
      <c r="C19" s="66"/>
      <c r="D19" s="69"/>
      <c r="E19" s="30"/>
      <c r="F19" s="30"/>
      <c r="G19" s="30"/>
      <c r="H19" s="34"/>
      <c r="I19" s="34"/>
    </row>
    <row r="20" spans="2:10" s="2" customFormat="1">
      <c r="B20" s="66" t="s">
        <v>236</v>
      </c>
      <c r="C20" s="155"/>
      <c r="D20" s="75" t="s">
        <v>230</v>
      </c>
      <c r="E20" s="207">
        <f>IF(ISBLANK(E24),0,E24-E18)</f>
        <v>-7.3473261429867875</v>
      </c>
      <c r="F20" s="207">
        <f t="shared" ref="F20:I20" si="4">IF(ISBLANK(F24),0,F24-F18)</f>
        <v>0</v>
      </c>
      <c r="G20" s="207">
        <f t="shared" si="4"/>
        <v>0</v>
      </c>
      <c r="H20" s="207">
        <f t="shared" si="4"/>
        <v>0</v>
      </c>
      <c r="I20" s="207">
        <f t="shared" si="4"/>
        <v>0</v>
      </c>
    </row>
    <row r="21" spans="2:10" s="2" customFormat="1">
      <c r="B21" s="66"/>
      <c r="C21" s="66"/>
      <c r="D21" s="69"/>
    </row>
    <row r="22" spans="2:10" s="2" customFormat="1">
      <c r="B22" s="66"/>
      <c r="C22" s="66"/>
      <c r="D22" s="69"/>
    </row>
    <row r="23" spans="2:10" s="2" customFormat="1">
      <c r="B23" s="66"/>
      <c r="C23" s="66"/>
      <c r="D23" s="69"/>
    </row>
    <row r="24" spans="2:10" s="2" customFormat="1">
      <c r="B24" s="155" t="s">
        <v>237</v>
      </c>
      <c r="C24" s="155" t="s">
        <v>238</v>
      </c>
      <c r="D24" s="75" t="s">
        <v>230</v>
      </c>
      <c r="E24" s="308">
        <v>448.40109491971612</v>
      </c>
      <c r="F24" s="308"/>
      <c r="G24" s="308"/>
      <c r="H24" s="308"/>
      <c r="I24" s="308"/>
    </row>
    <row r="25" spans="2:10" s="2" customFormat="1">
      <c r="B25" s="66"/>
      <c r="C25" s="66"/>
      <c r="D25" s="69"/>
    </row>
    <row r="26" spans="2:10" s="2" customFormat="1">
      <c r="B26" s="155" t="s">
        <v>239</v>
      </c>
      <c r="C26" s="155"/>
      <c r="D26" s="69"/>
      <c r="E26" s="69"/>
      <c r="F26" s="69"/>
      <c r="G26" s="69"/>
      <c r="H26" s="69"/>
      <c r="I26" s="69"/>
      <c r="J26" s="69"/>
    </row>
    <row r="27" spans="2:10" s="2" customFormat="1">
      <c r="B27" s="311" t="s">
        <v>240</v>
      </c>
      <c r="C27" s="311"/>
      <c r="D27" s="75" t="s">
        <v>230</v>
      </c>
      <c r="E27" s="204">
        <v>0</v>
      </c>
      <c r="F27" s="204"/>
      <c r="G27" s="204"/>
      <c r="H27" s="204"/>
      <c r="I27" s="204"/>
    </row>
    <row r="28" spans="2:10" s="2" customFormat="1">
      <c r="B28" s="311" t="s">
        <v>241</v>
      </c>
      <c r="C28" s="311"/>
      <c r="D28" s="75" t="s">
        <v>230</v>
      </c>
      <c r="E28" s="204">
        <v>0</v>
      </c>
      <c r="F28" s="204"/>
      <c r="G28" s="204"/>
      <c r="H28" s="204"/>
      <c r="I28" s="204"/>
    </row>
    <row r="29" spans="2:10" s="2" customFormat="1">
      <c r="B29" s="311" t="s">
        <v>242</v>
      </c>
      <c r="C29" s="311"/>
      <c r="D29" s="75" t="s">
        <v>230</v>
      </c>
      <c r="E29" s="204">
        <v>0</v>
      </c>
      <c r="F29" s="204"/>
      <c r="G29" s="204"/>
      <c r="H29" s="204"/>
      <c r="I29" s="204"/>
    </row>
    <row r="30" spans="2:10" s="2" customFormat="1">
      <c r="B30" s="311" t="s">
        <v>243</v>
      </c>
      <c r="C30" s="311"/>
      <c r="D30" s="75" t="s">
        <v>230</v>
      </c>
      <c r="E30" s="204">
        <v>0</v>
      </c>
      <c r="F30" s="204"/>
      <c r="G30" s="204"/>
      <c r="H30" s="204"/>
      <c r="I30" s="204"/>
    </row>
    <row r="31" spans="2:10" s="2" customFormat="1">
      <c r="B31" s="311" t="s">
        <v>244</v>
      </c>
      <c r="C31" s="311"/>
      <c r="D31" s="75" t="s">
        <v>230</v>
      </c>
      <c r="E31" s="204">
        <v>0</v>
      </c>
      <c r="F31" s="204"/>
      <c r="G31" s="204"/>
      <c r="H31" s="204"/>
      <c r="I31" s="204"/>
    </row>
    <row r="32" spans="2:10" s="2" customFormat="1">
      <c r="B32" s="311" t="s">
        <v>245</v>
      </c>
      <c r="C32" s="311"/>
      <c r="D32" s="75" t="s">
        <v>230</v>
      </c>
      <c r="E32" s="204">
        <v>0.38045973660034477</v>
      </c>
      <c r="F32" s="204"/>
      <c r="G32" s="204"/>
      <c r="H32" s="204"/>
      <c r="I32" s="204"/>
    </row>
    <row r="33" spans="2:9" s="2" customFormat="1">
      <c r="B33" s="311" t="s">
        <v>246</v>
      </c>
      <c r="C33" s="311"/>
      <c r="D33" s="75" t="s">
        <v>230</v>
      </c>
      <c r="E33" s="204">
        <v>0</v>
      </c>
      <c r="F33" s="204"/>
      <c r="G33" s="204"/>
      <c r="H33" s="204"/>
      <c r="I33" s="204"/>
    </row>
    <row r="34" spans="2:9" s="2" customFormat="1">
      <c r="B34" s="467" t="s">
        <v>247</v>
      </c>
      <c r="C34" s="467"/>
      <c r="D34" s="75" t="s">
        <v>230</v>
      </c>
      <c r="E34" s="204">
        <v>0</v>
      </c>
      <c r="F34" s="204"/>
      <c r="G34" s="204"/>
      <c r="H34" s="204"/>
      <c r="I34" s="204"/>
    </row>
    <row r="35" spans="2:9" s="2" customFormat="1">
      <c r="B35" s="376" t="s">
        <v>248</v>
      </c>
      <c r="C35" s="309"/>
      <c r="D35" s="75" t="s">
        <v>230</v>
      </c>
      <c r="E35" s="204">
        <v>-1.9505021000000109</v>
      </c>
      <c r="F35" s="204"/>
      <c r="G35" s="204"/>
      <c r="H35" s="204"/>
      <c r="I35" s="204"/>
    </row>
    <row r="36" spans="2:9" s="2" customFormat="1">
      <c r="B36" s="155" t="s">
        <v>249</v>
      </c>
      <c r="C36" s="155"/>
      <c r="D36" s="75" t="s">
        <v>230</v>
      </c>
      <c r="E36" s="207">
        <f>SUM(E27:E35)</f>
        <v>-1.5700423633996661</v>
      </c>
      <c r="F36" s="207">
        <f t="shared" ref="F36:I36" si="5">SUM(F27:F35)</f>
        <v>0</v>
      </c>
      <c r="G36" s="207">
        <f t="shared" si="5"/>
        <v>0</v>
      </c>
      <c r="H36" s="207">
        <f t="shared" si="5"/>
        <v>0</v>
      </c>
      <c r="I36" s="207">
        <f t="shared" si="5"/>
        <v>0</v>
      </c>
    </row>
    <row r="37" spans="2:9" s="2" customFormat="1">
      <c r="B37" s="66"/>
      <c r="C37" s="66"/>
      <c r="D37" s="69"/>
    </row>
    <row r="38" spans="2:9" s="2" customFormat="1">
      <c r="B38" s="155" t="s">
        <v>250</v>
      </c>
      <c r="D38" s="155"/>
      <c r="E38" s="469"/>
    </row>
    <row r="39" spans="2:9" s="2" customFormat="1">
      <c r="B39" s="376" t="s">
        <v>251</v>
      </c>
      <c r="C39" s="376"/>
      <c r="D39" s="75" t="s">
        <v>230</v>
      </c>
      <c r="E39" s="204">
        <v>3.257733975247981</v>
      </c>
      <c r="F39" s="204"/>
      <c r="G39" s="204"/>
      <c r="H39" s="204"/>
      <c r="I39" s="204"/>
    </row>
    <row r="40" spans="2:9" s="2" customFormat="1">
      <c r="B40" s="376" t="s">
        <v>252</v>
      </c>
      <c r="C40" s="376"/>
      <c r="D40" s="75" t="s">
        <v>230</v>
      </c>
      <c r="E40" s="204">
        <v>0.58805651000000003</v>
      </c>
      <c r="F40" s="204"/>
      <c r="G40" s="204"/>
      <c r="H40" s="204"/>
      <c r="I40" s="204"/>
    </row>
    <row r="41" spans="2:9" s="2" customFormat="1">
      <c r="B41" s="376" t="s">
        <v>253</v>
      </c>
      <c r="C41" s="376"/>
      <c r="D41" s="75" t="s">
        <v>230</v>
      </c>
      <c r="E41" s="204">
        <v>1.0869247118001797</v>
      </c>
      <c r="F41" s="204"/>
      <c r="G41" s="204"/>
      <c r="H41" s="204"/>
      <c r="I41" s="204"/>
    </row>
    <row r="42" spans="2:9" s="2" customFormat="1">
      <c r="B42" s="376" t="s">
        <v>254</v>
      </c>
      <c r="C42" s="376"/>
      <c r="D42" s="75" t="s">
        <v>230</v>
      </c>
      <c r="E42" s="204">
        <v>0</v>
      </c>
      <c r="F42" s="204"/>
      <c r="G42" s="204"/>
      <c r="H42" s="204"/>
      <c r="I42" s="204"/>
    </row>
    <row r="43" spans="2:9" s="2" customFormat="1">
      <c r="B43" s="376" t="s">
        <v>255</v>
      </c>
      <c r="C43" s="376"/>
      <c r="D43" s="75" t="s">
        <v>230</v>
      </c>
      <c r="E43" s="204">
        <v>0</v>
      </c>
      <c r="F43" s="204"/>
      <c r="G43" s="204"/>
      <c r="H43" s="204"/>
      <c r="I43" s="204"/>
    </row>
    <row r="44" spans="2:9" s="2" customFormat="1">
      <c r="B44" s="376" t="s">
        <v>256</v>
      </c>
      <c r="C44" s="376"/>
      <c r="D44" s="75" t="s">
        <v>230</v>
      </c>
      <c r="E44" s="204">
        <v>0</v>
      </c>
      <c r="F44" s="204"/>
      <c r="G44" s="204"/>
      <c r="H44" s="204"/>
      <c r="I44" s="204"/>
    </row>
    <row r="45" spans="2:9" s="2" customFormat="1">
      <c r="B45" s="376" t="s">
        <v>257</v>
      </c>
      <c r="C45" s="376"/>
      <c r="D45" s="75" t="s">
        <v>230</v>
      </c>
      <c r="E45" s="204">
        <v>0</v>
      </c>
      <c r="F45" s="204"/>
      <c r="G45" s="204"/>
      <c r="H45" s="204"/>
      <c r="I45" s="204"/>
    </row>
    <row r="46" spans="2:9" s="2" customFormat="1">
      <c r="B46" s="376" t="s">
        <v>258</v>
      </c>
      <c r="C46" s="376"/>
      <c r="D46" s="75" t="s">
        <v>230</v>
      </c>
      <c r="E46" s="204">
        <v>0</v>
      </c>
      <c r="F46" s="204"/>
      <c r="G46" s="204"/>
      <c r="H46" s="204"/>
      <c r="I46" s="204"/>
    </row>
    <row r="47" spans="2:9" s="2" customFormat="1">
      <c r="B47" s="376" t="s">
        <v>259</v>
      </c>
      <c r="C47" s="376"/>
      <c r="D47" s="75" t="s">
        <v>230</v>
      </c>
      <c r="E47" s="204">
        <v>1526.7911025875333</v>
      </c>
      <c r="F47" s="204"/>
      <c r="G47" s="204"/>
      <c r="H47" s="204"/>
      <c r="I47" s="204"/>
    </row>
    <row r="48" spans="2:9" s="2" customFormat="1">
      <c r="B48" s="376" t="s">
        <v>260</v>
      </c>
      <c r="C48" s="376"/>
      <c r="D48" s="75" t="s">
        <v>230</v>
      </c>
      <c r="E48" s="204">
        <v>0</v>
      </c>
      <c r="F48" s="204"/>
      <c r="G48" s="204"/>
      <c r="H48" s="204"/>
      <c r="I48" s="204"/>
    </row>
    <row r="49" spans="1:14" s="2" customFormat="1">
      <c r="B49" s="376" t="s">
        <v>261</v>
      </c>
      <c r="C49" s="376"/>
      <c r="D49" s="75" t="s">
        <v>230</v>
      </c>
      <c r="E49" s="204">
        <v>2.4676364100000003</v>
      </c>
      <c r="F49" s="204"/>
      <c r="G49" s="204"/>
      <c r="H49" s="204"/>
      <c r="I49" s="204"/>
    </row>
    <row r="50" spans="1:14" s="2" customFormat="1">
      <c r="B50" s="376" t="s">
        <v>262</v>
      </c>
      <c r="C50" s="376"/>
      <c r="D50" s="75" t="s">
        <v>230</v>
      </c>
      <c r="E50" s="204">
        <v>1.4813130248907669</v>
      </c>
      <c r="F50" s="204"/>
      <c r="G50" s="204"/>
      <c r="H50" s="204"/>
      <c r="I50" s="204"/>
    </row>
    <row r="51" spans="1:14" s="2" customFormat="1">
      <c r="B51" s="376" t="s">
        <v>263</v>
      </c>
      <c r="C51" s="376"/>
      <c r="D51" s="75" t="s">
        <v>230</v>
      </c>
      <c r="E51" s="204">
        <v>2.0754477499999999</v>
      </c>
      <c r="F51" s="204"/>
      <c r="G51" s="204"/>
      <c r="H51" s="204"/>
      <c r="I51" s="204"/>
    </row>
    <row r="52" spans="1:14" s="2" customFormat="1">
      <c r="B52" s="376" t="s">
        <v>264</v>
      </c>
      <c r="C52" s="376"/>
      <c r="D52" s="75" t="s">
        <v>230</v>
      </c>
      <c r="E52" s="204">
        <v>-0.92340560053800003</v>
      </c>
      <c r="F52" s="204"/>
      <c r="G52" s="204"/>
      <c r="H52" s="204"/>
      <c r="I52" s="204"/>
    </row>
    <row r="53" spans="1:14" s="2" customFormat="1">
      <c r="B53" s="376" t="s">
        <v>265</v>
      </c>
      <c r="C53" s="376"/>
      <c r="D53" s="75" t="s">
        <v>230</v>
      </c>
      <c r="E53" s="204">
        <v>6.6169412324820764E-2</v>
      </c>
      <c r="F53" s="204"/>
      <c r="G53" s="204"/>
      <c r="H53" s="204"/>
      <c r="I53" s="204"/>
    </row>
    <row r="54" spans="1:14" s="2" customFormat="1">
      <c r="B54" s="376" t="s">
        <v>266</v>
      </c>
      <c r="C54" s="376"/>
      <c r="D54" s="75" t="s">
        <v>230</v>
      </c>
      <c r="E54" s="204">
        <v>0.27796866242465501</v>
      </c>
      <c r="F54" s="204"/>
      <c r="G54" s="204"/>
      <c r="H54" s="204"/>
      <c r="I54" s="204"/>
    </row>
    <row r="55" spans="1:14" s="2" customFormat="1">
      <c r="B55" s="155" t="s">
        <v>267</v>
      </c>
      <c r="C55" s="155"/>
      <c r="D55" s="75" t="s">
        <v>230</v>
      </c>
      <c r="E55" s="207">
        <f t="shared" ref="E55:I55" si="6">SUM(E39:E54)</f>
        <v>1537.1689474436837</v>
      </c>
      <c r="F55" s="207">
        <f t="shared" si="6"/>
        <v>0</v>
      </c>
      <c r="G55" s="207">
        <f t="shared" si="6"/>
        <v>0</v>
      </c>
      <c r="H55" s="207">
        <f t="shared" si="6"/>
        <v>0</v>
      </c>
      <c r="I55" s="207">
        <f t="shared" si="6"/>
        <v>0</v>
      </c>
    </row>
    <row r="56" spans="1:14" s="2" customFormat="1">
      <c r="B56" s="66"/>
      <c r="C56" s="66"/>
      <c r="D56" s="69"/>
      <c r="E56" s="31"/>
      <c r="F56" s="31"/>
      <c r="G56" s="31"/>
      <c r="H56" s="31"/>
      <c r="I56" s="31"/>
    </row>
    <row r="57" spans="1:14" s="2" customFormat="1">
      <c r="B57" s="288" t="s">
        <v>268</v>
      </c>
      <c r="C57" s="288"/>
      <c r="D57" s="75" t="s">
        <v>230</v>
      </c>
      <c r="E57" s="207">
        <f t="shared" ref="E57:I57" si="7">E24+E36+E55</f>
        <v>1984</v>
      </c>
      <c r="F57" s="207">
        <f t="shared" si="7"/>
        <v>0</v>
      </c>
      <c r="G57" s="207">
        <f t="shared" si="7"/>
        <v>0</v>
      </c>
      <c r="H57" s="207">
        <f t="shared" si="7"/>
        <v>0</v>
      </c>
      <c r="I57" s="207">
        <f t="shared" si="7"/>
        <v>0</v>
      </c>
    </row>
    <row r="58" spans="1:14" s="2" customFormat="1">
      <c r="B58" s="349" t="s">
        <v>269</v>
      </c>
      <c r="C58" s="349"/>
      <c r="D58" s="75" t="s">
        <v>230</v>
      </c>
      <c r="E58" s="204">
        <v>1984</v>
      </c>
      <c r="F58" s="204"/>
      <c r="G58" s="204"/>
      <c r="H58" s="204"/>
      <c r="I58" s="204"/>
    </row>
    <row r="59" spans="1:14" s="2" customFormat="1">
      <c r="B59" s="66" t="s">
        <v>270</v>
      </c>
      <c r="C59" s="66"/>
      <c r="D59" s="69"/>
      <c r="E59" s="60" t="str">
        <f>IF(ABS(E57-E58)&lt;Data!$F$7,"OK","Error")</f>
        <v>OK</v>
      </c>
      <c r="F59" s="60" t="str">
        <f>IF(ABS(F57-F58)&lt;Data!$F$7,"OK","Error")</f>
        <v>OK</v>
      </c>
      <c r="G59" s="60" t="str">
        <f>IF(ABS(G57-G58)&lt;Data!$F$7,"OK","Error")</f>
        <v>OK</v>
      </c>
      <c r="H59" s="60" t="str">
        <f>IF(ABS(H57-H58)&lt;Data!$F$7,"OK","Error")</f>
        <v>OK</v>
      </c>
      <c r="I59" s="60" t="str">
        <f>IF(ABS(I57-I58)&lt;Data!$F$7,"OK","Error")</f>
        <v>OK</v>
      </c>
    </row>
    <row r="60" spans="1:14" s="2" customFormat="1">
      <c r="B60" s="66"/>
      <c r="C60" s="66"/>
      <c r="D60" s="69"/>
      <c r="E60" s="26"/>
      <c r="F60" s="26"/>
      <c r="G60" s="26"/>
      <c r="H60" s="26"/>
      <c r="I60" s="26"/>
    </row>
    <row r="61" spans="1:14" s="2" customFormat="1">
      <c r="B61" s="66"/>
      <c r="C61" s="66"/>
      <c r="D61" s="69"/>
    </row>
    <row r="62" spans="1:14" s="2" customFormat="1">
      <c r="B62" s="66"/>
      <c r="C62" s="66"/>
      <c r="D62" s="69"/>
    </row>
    <row r="63" spans="1:14" s="2" customFormat="1">
      <c r="B63" s="241" t="s">
        <v>271</v>
      </c>
      <c r="C63" s="241"/>
      <c r="D63" s="73"/>
      <c r="E63" s="40"/>
      <c r="F63" s="40"/>
      <c r="G63" s="40"/>
      <c r="H63" s="40"/>
      <c r="I63" s="40"/>
      <c r="J63" s="41"/>
    </row>
    <row r="64" spans="1:14" s="2" customFormat="1">
      <c r="A64"/>
      <c r="B64" s="88"/>
      <c r="C64" s="88"/>
      <c r="D64" s="69"/>
      <c r="E64"/>
      <c r="F64"/>
      <c r="G64"/>
      <c r="H64"/>
      <c r="I64"/>
      <c r="J64"/>
      <c r="K64"/>
      <c r="L64"/>
      <c r="M64"/>
      <c r="N64"/>
    </row>
    <row r="65" spans="1:14" s="2" customFormat="1">
      <c r="A65"/>
      <c r="B65" s="88"/>
      <c r="C65" s="88"/>
      <c r="D65" s="69"/>
      <c r="E65" s="153" t="str">
        <f>IF(E$6&lt;=Reporting_Year,"Actuals","N/A")</f>
        <v>Actuals</v>
      </c>
      <c r="F65" s="153" t="str">
        <f>IF(F$6&lt;=Reporting_Year,"Actuals","N/A")</f>
        <v>N/A</v>
      </c>
      <c r="G65" s="153" t="str">
        <f>IF(G$6&lt;=Reporting_Year,"Actuals","N/A")</f>
        <v>N/A</v>
      </c>
      <c r="H65" s="153" t="str">
        <f>IF(H$6&lt;=Reporting_Year,"Actuals","N/A")</f>
        <v>N/A</v>
      </c>
      <c r="I65" s="153" t="str">
        <f>IF(I$6&lt;=Reporting_Year,"Actuals","N/A")</f>
        <v>N/A</v>
      </c>
      <c r="J65"/>
      <c r="K65"/>
      <c r="L65"/>
      <c r="M65"/>
      <c r="N65"/>
    </row>
    <row r="66" spans="1:14" s="2" customFormat="1">
      <c r="A66"/>
      <c r="B66" s="88"/>
      <c r="C66" s="88"/>
      <c r="D66" s="69"/>
      <c r="E66"/>
      <c r="F66"/>
      <c r="G66"/>
      <c r="H66"/>
      <c r="I66"/>
      <c r="J66"/>
      <c r="K66"/>
      <c r="L66"/>
      <c r="M66"/>
      <c r="N66"/>
    </row>
    <row r="67" spans="1:14" s="2" customFormat="1">
      <c r="A67"/>
      <c r="B67" s="130" t="s">
        <v>272</v>
      </c>
      <c r="C67" s="88"/>
      <c r="D67" s="75" t="s">
        <v>230</v>
      </c>
      <c r="E67" s="514">
        <f>E58</f>
        <v>1984</v>
      </c>
      <c r="F67" s="514">
        <f t="shared" ref="F67:I67" si="8">F58</f>
        <v>0</v>
      </c>
      <c r="G67" s="514">
        <f t="shared" si="8"/>
        <v>0</v>
      </c>
      <c r="H67" s="514">
        <f t="shared" si="8"/>
        <v>0</v>
      </c>
      <c r="I67" s="514">
        <f t="shared" si="8"/>
        <v>0</v>
      </c>
      <c r="J67"/>
      <c r="K67"/>
      <c r="L67"/>
      <c r="M67"/>
      <c r="N67"/>
    </row>
    <row r="68" spans="1:14" s="2" customFormat="1">
      <c r="A68"/>
      <c r="B68" s="2" t="s">
        <v>237</v>
      </c>
      <c r="C68" s="88"/>
      <c r="D68" s="75" t="s">
        <v>230</v>
      </c>
      <c r="E68" s="514">
        <v>1899.4131134199997</v>
      </c>
      <c r="F68" s="514">
        <f t="shared" ref="F68:I68" si="9">F24</f>
        <v>0</v>
      </c>
      <c r="G68" s="514">
        <f t="shared" si="9"/>
        <v>0</v>
      </c>
      <c r="H68" s="514">
        <f t="shared" si="9"/>
        <v>0</v>
      </c>
      <c r="I68" s="514">
        <f t="shared" si="9"/>
        <v>0</v>
      </c>
      <c r="J68"/>
      <c r="K68"/>
      <c r="L68"/>
      <c r="M68"/>
      <c r="N68"/>
    </row>
    <row r="69" spans="1:14" s="2" customFormat="1">
      <c r="A69"/>
      <c r="B69" s="349"/>
      <c r="C69" s="88"/>
      <c r="D69" s="75"/>
      <c r="E69" s="350"/>
      <c r="F69" s="350"/>
      <c r="G69" s="350"/>
      <c r="H69"/>
      <c r="I69"/>
      <c r="J69"/>
      <c r="K69"/>
      <c r="L69"/>
      <c r="M69"/>
      <c r="N69"/>
    </row>
    <row r="70" spans="1:14">
      <c r="B70" s="603"/>
    </row>
    <row r="71" spans="1:14">
      <c r="B71" s="130" t="s">
        <v>273</v>
      </c>
      <c r="D71" s="75" t="s">
        <v>230</v>
      </c>
      <c r="E71" s="514">
        <f>'R3 - Totex - Reconciliation'!D122-E83</f>
        <v>899</v>
      </c>
      <c r="F71" s="514">
        <f>'R3 - Totex - Reconciliation'!E122</f>
        <v>0</v>
      </c>
      <c r="G71" s="514">
        <f>'R3 - Totex - Reconciliation'!F122</f>
        <v>0</v>
      </c>
      <c r="H71" s="514">
        <f>'R3 - Totex - Reconciliation'!G122</f>
        <v>0</v>
      </c>
      <c r="I71" s="514">
        <f>'R3 - Totex - Reconciliation'!H122</f>
        <v>0</v>
      </c>
    </row>
    <row r="72" spans="1:14">
      <c r="B72" s="7" t="s">
        <v>274</v>
      </c>
      <c r="D72"/>
    </row>
    <row r="73" spans="1:14" ht="8.25" customHeight="1">
      <c r="B73"/>
      <c r="D73"/>
    </row>
    <row r="74" spans="1:14" ht="12.75" customHeight="1">
      <c r="B74" s="2" t="s">
        <v>275</v>
      </c>
      <c r="D74" s="75" t="s">
        <v>230</v>
      </c>
      <c r="E74" s="652">
        <v>16.17650043713239</v>
      </c>
      <c r="F74" s="652">
        <f>'R3 - Totex - Reconciliation'!E143</f>
        <v>0</v>
      </c>
      <c r="G74" s="652">
        <f>'R3 - Totex - Reconciliation'!F143</f>
        <v>0</v>
      </c>
      <c r="H74" s="652">
        <f>'R3 - Totex - Reconciliation'!G143</f>
        <v>0</v>
      </c>
      <c r="I74" s="652">
        <f>'R3 - Totex - Reconciliation'!H143</f>
        <v>0</v>
      </c>
    </row>
    <row r="75" spans="1:14">
      <c r="B75" t="s">
        <v>276</v>
      </c>
      <c r="D75" s="75" t="s">
        <v>230</v>
      </c>
      <c r="E75" s="204">
        <v>0</v>
      </c>
      <c r="F75" s="204"/>
      <c r="G75" s="204"/>
      <c r="H75" s="204"/>
      <c r="I75" s="204"/>
    </row>
    <row r="76" spans="1:14" ht="5.25" customHeight="1">
      <c r="B76"/>
      <c r="D76" s="88"/>
      <c r="E76" s="88"/>
      <c r="F76" s="88"/>
      <c r="G76" s="88"/>
      <c r="H76" s="88"/>
      <c r="I76" s="88"/>
      <c r="J76" s="88"/>
      <c r="L76" s="88"/>
      <c r="M76" s="88"/>
    </row>
    <row r="77" spans="1:14">
      <c r="B77" s="2" t="s">
        <v>277</v>
      </c>
      <c r="D77" s="75" t="s">
        <v>230</v>
      </c>
      <c r="E77" s="661">
        <v>915.17650043713229</v>
      </c>
      <c r="F77" s="661">
        <f>'R3 - Totex - Reconciliation'!E122+'R3 - Totex - Reconciliation'!E143+F75</f>
        <v>0</v>
      </c>
      <c r="G77" s="661">
        <f>'R3 - Totex - Reconciliation'!F122+'R3 - Totex - Reconciliation'!F143+G75</f>
        <v>0</v>
      </c>
      <c r="H77" s="661">
        <f>'R3 - Totex - Reconciliation'!G122+'R3 - Totex - Reconciliation'!G143+H75</f>
        <v>0</v>
      </c>
      <c r="I77" s="661">
        <f>'R3 - Totex - Reconciliation'!H122+'R3 - Totex - Reconciliation'!H143+I75</f>
        <v>0</v>
      </c>
    </row>
    <row r="78" spans="1:14">
      <c r="B78" s="7" t="s">
        <v>278</v>
      </c>
      <c r="D78" s="75" t="s">
        <v>230</v>
      </c>
      <c r="E78" s="538" t="str">
        <f>IF(ABS(E77-SUM(E71,E74))&lt;=materiality_threshold,"ok","error")</f>
        <v>ok</v>
      </c>
      <c r="F78" s="538" t="str">
        <f>IF(ABS(F77-SUM(F71,F74))&lt;=materiality_threshold,"ok","error")</f>
        <v>ok</v>
      </c>
      <c r="G78" s="538" t="str">
        <f>IF(ABS(G77-SUM(G71,G74))&lt;=materiality_threshold,"ok","error")</f>
        <v>ok</v>
      </c>
      <c r="H78" s="538" t="str">
        <f>IF(ABS(H77-SUM(H71,H74))&lt;=materiality_threshold,"ok","error")</f>
        <v>ok</v>
      </c>
      <c r="I78" s="538" t="str">
        <f>IF(ABS(I77-SUM(I71,I74))&lt;=materiality_threshold,"ok","error")</f>
        <v>ok</v>
      </c>
    </row>
    <row r="79" spans="1:14">
      <c r="B79"/>
      <c r="D79" s="75"/>
      <c r="E79" s="75"/>
      <c r="F79" s="75"/>
      <c r="G79" s="75"/>
      <c r="H79" s="75"/>
      <c r="I79" s="75"/>
    </row>
    <row r="80" spans="1:14">
      <c r="B80" s="130" t="s">
        <v>279</v>
      </c>
      <c r="D80" s="75" t="s">
        <v>230</v>
      </c>
      <c r="E80" s="606">
        <f>E67-E71</f>
        <v>1085</v>
      </c>
      <c r="F80" s="606">
        <f>F67-F71</f>
        <v>0</v>
      </c>
      <c r="G80" s="606">
        <f>G67-G71</f>
        <v>0</v>
      </c>
      <c r="H80" s="606">
        <f>H67-H71</f>
        <v>0</v>
      </c>
      <c r="I80" s="606">
        <f>I67-I71</f>
        <v>0</v>
      </c>
    </row>
    <row r="81" spans="2:12">
      <c r="B81" s="340" t="s">
        <v>280</v>
      </c>
      <c r="D81" s="75" t="s">
        <v>230</v>
      </c>
      <c r="E81" s="606">
        <f>E68-E77</f>
        <v>984.23661298286743</v>
      </c>
      <c r="F81" s="606">
        <f>F68-F77</f>
        <v>0</v>
      </c>
      <c r="G81" s="606">
        <f>G68-G77</f>
        <v>0</v>
      </c>
      <c r="H81" s="606">
        <f>H68-H77</f>
        <v>0</v>
      </c>
      <c r="I81" s="606">
        <f>I68-I77</f>
        <v>0</v>
      </c>
    </row>
    <row r="83" spans="2:12">
      <c r="B83" s="130" t="s">
        <v>281</v>
      </c>
      <c r="D83" s="75" t="s">
        <v>230</v>
      </c>
      <c r="E83" s="204">
        <v>400</v>
      </c>
      <c r="F83" s="204"/>
      <c r="G83" s="204"/>
      <c r="H83" s="204"/>
      <c r="I83" s="204"/>
    </row>
    <row r="84" spans="2:12" ht="16.149999999999999" customHeight="1">
      <c r="B84" s="7" t="s">
        <v>274</v>
      </c>
    </row>
    <row r="85" spans="2:12" ht="22.15" customHeight="1">
      <c r="B85" t="s">
        <v>282</v>
      </c>
      <c r="D85"/>
    </row>
    <row r="86" spans="2:12">
      <c r="B86" s="66" t="s">
        <v>283</v>
      </c>
      <c r="D86" s="75" t="s">
        <v>230</v>
      </c>
      <c r="E86" s="533">
        <v>9</v>
      </c>
      <c r="F86" s="533"/>
      <c r="G86" s="533"/>
      <c r="H86" s="533"/>
      <c r="I86" s="533"/>
    </row>
    <row r="87" spans="2:12">
      <c r="B87" s="710" t="s">
        <v>284</v>
      </c>
      <c r="D87" s="75" t="s">
        <v>230</v>
      </c>
      <c r="E87" s="204">
        <v>0</v>
      </c>
      <c r="F87" s="204"/>
      <c r="G87" s="204"/>
      <c r="H87" s="204"/>
      <c r="I87" s="204"/>
    </row>
    <row r="88" spans="2:12">
      <c r="B88" s="66" t="s">
        <v>285</v>
      </c>
      <c r="D88" s="75" t="s">
        <v>230</v>
      </c>
      <c r="E88" s="581">
        <f>SUM(E86:E87)</f>
        <v>9</v>
      </c>
      <c r="F88" s="581">
        <f t="shared" ref="F88:I88" si="10">SUM(F86:F87)</f>
        <v>0</v>
      </c>
      <c r="G88" s="581">
        <f t="shared" si="10"/>
        <v>0</v>
      </c>
      <c r="H88" s="581">
        <f t="shared" si="10"/>
        <v>0</v>
      </c>
      <c r="I88" s="581">
        <f t="shared" si="10"/>
        <v>0</v>
      </c>
    </row>
    <row r="89" spans="2:12" ht="5.25" customHeight="1">
      <c r="B89" s="66"/>
      <c r="D89" s="75"/>
      <c r="E89" s="75"/>
      <c r="F89" s="75"/>
      <c r="G89" s="75"/>
      <c r="H89" s="75"/>
      <c r="I89" s="75"/>
      <c r="L89" s="75"/>
    </row>
    <row r="90" spans="2:12">
      <c r="B90" s="2" t="s">
        <v>286</v>
      </c>
      <c r="D90" s="75" t="s">
        <v>230</v>
      </c>
      <c r="E90" s="535">
        <f>E83-E88</f>
        <v>391</v>
      </c>
      <c r="F90" s="535">
        <f t="shared" ref="F90:I90" si="11">F83-F88</f>
        <v>0</v>
      </c>
      <c r="G90" s="535">
        <f t="shared" si="11"/>
        <v>0</v>
      </c>
      <c r="H90" s="535">
        <f t="shared" si="11"/>
        <v>0</v>
      </c>
      <c r="I90" s="535">
        <f t="shared" si="11"/>
        <v>0</v>
      </c>
    </row>
    <row r="91" spans="2:12">
      <c r="B91"/>
      <c r="C91"/>
      <c r="D91"/>
    </row>
    <row r="92" spans="2:12">
      <c r="B92" s="783" t="s">
        <v>287</v>
      </c>
      <c r="C92" s="613"/>
      <c r="D92" s="614" t="s">
        <v>230</v>
      </c>
      <c r="E92" s="221">
        <f>E80-E83</f>
        <v>685</v>
      </c>
      <c r="F92" s="221">
        <f t="shared" ref="F92:I92" si="12">F80-F83</f>
        <v>0</v>
      </c>
      <c r="G92" s="221">
        <f t="shared" si="12"/>
        <v>0</v>
      </c>
      <c r="H92" s="221">
        <f t="shared" si="12"/>
        <v>0</v>
      </c>
      <c r="I92" s="221">
        <f t="shared" si="12"/>
        <v>0</v>
      </c>
    </row>
    <row r="93" spans="2:12">
      <c r="B93" s="608" t="s">
        <v>288</v>
      </c>
      <c r="D93" s="75" t="s">
        <v>230</v>
      </c>
      <c r="E93" s="535">
        <f>E81-E90</f>
        <v>593.23661298286743</v>
      </c>
      <c r="F93" s="535">
        <f t="shared" ref="F93:I93" si="13">F81-F90</f>
        <v>0</v>
      </c>
      <c r="G93" s="535">
        <f t="shared" si="13"/>
        <v>0</v>
      </c>
      <c r="H93" s="535">
        <f t="shared" si="13"/>
        <v>0</v>
      </c>
      <c r="I93" s="535">
        <f t="shared" si="13"/>
        <v>0</v>
      </c>
    </row>
    <row r="94" spans="2:12">
      <c r="B94" s="608"/>
      <c r="D94" s="75"/>
      <c r="E94" s="516"/>
      <c r="F94" s="516"/>
      <c r="G94" s="516"/>
      <c r="H94" s="516"/>
      <c r="I94" s="536"/>
    </row>
    <row r="95" spans="2:12">
      <c r="B95" s="609" t="s">
        <v>289</v>
      </c>
      <c r="D95" s="75" t="s">
        <v>230</v>
      </c>
      <c r="E95" s="515">
        <f>'R5 - Financing'!D9</f>
        <v>316.35346812999995</v>
      </c>
      <c r="F95" s="515"/>
      <c r="G95" s="515"/>
      <c r="H95" s="515"/>
      <c r="I95" s="515"/>
    </row>
    <row r="96" spans="2:12">
      <c r="B96" s="610" t="s">
        <v>290</v>
      </c>
      <c r="D96" s="75" t="s">
        <v>230</v>
      </c>
      <c r="E96" s="515">
        <v>330.48481092743475</v>
      </c>
      <c r="F96" s="515"/>
      <c r="G96" s="515"/>
      <c r="H96" s="515"/>
      <c r="I96" s="515"/>
    </row>
    <row r="97" spans="2:9">
      <c r="B97" s="605" t="s">
        <v>278</v>
      </c>
      <c r="D97" s="75" t="s">
        <v>230</v>
      </c>
      <c r="E97" s="535">
        <f>E95-E96</f>
        <v>-14.131342797434797</v>
      </c>
      <c r="F97" s="535">
        <f t="shared" ref="F97" si="14">F95-F96</f>
        <v>0</v>
      </c>
      <c r="G97" s="535">
        <f t="shared" ref="G97" si="15">G95-G96</f>
        <v>0</v>
      </c>
      <c r="H97" s="535">
        <f t="shared" ref="H97" si="16">H95-H96</f>
        <v>0</v>
      </c>
      <c r="I97" s="611">
        <f t="shared" ref="I97" si="17">I95-I96</f>
        <v>0</v>
      </c>
    </row>
    <row r="98" spans="2:9">
      <c r="B98" s="608"/>
      <c r="D98" s="75"/>
      <c r="E98" s="516"/>
      <c r="F98" s="516"/>
      <c r="G98" s="516"/>
      <c r="H98" s="516"/>
      <c r="I98" s="536"/>
    </row>
    <row r="99" spans="2:9">
      <c r="B99" s="609" t="s">
        <v>291</v>
      </c>
      <c r="D99" s="75" t="s">
        <v>230</v>
      </c>
      <c r="E99" s="204">
        <v>462</v>
      </c>
      <c r="F99" s="204"/>
      <c r="G99" s="204"/>
      <c r="H99" s="204"/>
      <c r="I99" s="204"/>
    </row>
    <row r="100" spans="2:9">
      <c r="B100" s="609" t="s">
        <v>292</v>
      </c>
      <c r="D100" s="75" t="s">
        <v>230</v>
      </c>
      <c r="E100" s="204">
        <v>-379</v>
      </c>
      <c r="F100" s="204"/>
      <c r="G100" s="204"/>
      <c r="H100" s="204"/>
      <c r="I100" s="204"/>
    </row>
    <row r="101" spans="2:9">
      <c r="B101" s="609" t="s">
        <v>293</v>
      </c>
      <c r="D101" s="75" t="s">
        <v>230</v>
      </c>
      <c r="E101" s="221">
        <f>SUM(E99:E100)</f>
        <v>83</v>
      </c>
      <c r="F101" s="221">
        <f t="shared" ref="F101:I101" si="18">SUM(F99:F100)</f>
        <v>0</v>
      </c>
      <c r="G101" s="221">
        <f t="shared" si="18"/>
        <v>0</v>
      </c>
      <c r="H101" s="221">
        <f t="shared" si="18"/>
        <v>0</v>
      </c>
      <c r="I101" s="221">
        <f t="shared" si="18"/>
        <v>0</v>
      </c>
    </row>
    <row r="102" spans="2:9">
      <c r="B102" s="610" t="s">
        <v>294</v>
      </c>
      <c r="D102" s="75" t="s">
        <v>230</v>
      </c>
      <c r="E102" s="515">
        <v>102.20298249109956</v>
      </c>
      <c r="F102" s="515"/>
      <c r="G102" s="515"/>
      <c r="H102" s="515"/>
      <c r="I102" s="515"/>
    </row>
    <row r="103" spans="2:9">
      <c r="B103" s="605" t="s">
        <v>278</v>
      </c>
      <c r="D103" s="75" t="s">
        <v>230</v>
      </c>
      <c r="E103" s="535">
        <f>SUM(E101:E102)</f>
        <v>185.20298249109956</v>
      </c>
      <c r="F103" s="535">
        <f t="shared" ref="F103:I103" si="19">SUM(F101:F102)</f>
        <v>0</v>
      </c>
      <c r="G103" s="535">
        <f t="shared" si="19"/>
        <v>0</v>
      </c>
      <c r="H103" s="535">
        <f t="shared" si="19"/>
        <v>0</v>
      </c>
      <c r="I103" s="535">
        <f t="shared" si="19"/>
        <v>0</v>
      </c>
    </row>
    <row r="104" spans="2:9">
      <c r="B104" s="534"/>
      <c r="D104" s="75"/>
      <c r="E104" s="516"/>
      <c r="F104" s="516"/>
      <c r="G104" s="516"/>
      <c r="H104" s="516"/>
      <c r="I104" s="536"/>
    </row>
    <row r="105" spans="2:9">
      <c r="B105" s="537" t="s">
        <v>295</v>
      </c>
      <c r="D105" s="75" t="s">
        <v>230</v>
      </c>
      <c r="E105" s="221">
        <f>IFERROR(E92-E95-E99,0)</f>
        <v>-93.353468129999953</v>
      </c>
      <c r="F105" s="221">
        <f t="shared" ref="F105:I105" si="20">IFERROR(F92-F95-F99,0)</f>
        <v>0</v>
      </c>
      <c r="G105" s="221">
        <f t="shared" si="20"/>
        <v>0</v>
      </c>
      <c r="H105" s="221">
        <f t="shared" si="20"/>
        <v>0</v>
      </c>
      <c r="I105" s="221">
        <f t="shared" si="20"/>
        <v>0</v>
      </c>
    </row>
    <row r="106" spans="2:9">
      <c r="B106" s="607" t="s">
        <v>296</v>
      </c>
      <c r="D106" s="75" t="s">
        <v>230</v>
      </c>
      <c r="E106" s="221">
        <f>IFERROR(E93-E96-E102,0)</f>
        <v>160.54881956433312</v>
      </c>
      <c r="F106" s="221">
        <f t="shared" ref="F106:I106" si="21">IFERROR(F93-F96-F102,0)</f>
        <v>0</v>
      </c>
      <c r="G106" s="221">
        <f t="shared" si="21"/>
        <v>0</v>
      </c>
      <c r="H106" s="221">
        <f t="shared" si="21"/>
        <v>0</v>
      </c>
      <c r="I106" s="221">
        <f t="shared" si="21"/>
        <v>0</v>
      </c>
    </row>
    <row r="107" spans="2:9">
      <c r="B107" s="605" t="s">
        <v>278</v>
      </c>
      <c r="D107" s="75" t="s">
        <v>230</v>
      </c>
      <c r="E107" s="535">
        <f>IFERROR(E105-E106,0)</f>
        <v>-253.90228769433307</v>
      </c>
      <c r="F107" s="535">
        <f t="shared" ref="F107:I107" si="22">IFERROR(F105-F106,0)</f>
        <v>0</v>
      </c>
      <c r="G107" s="535">
        <f t="shared" si="22"/>
        <v>0</v>
      </c>
      <c r="H107" s="535">
        <f t="shared" si="22"/>
        <v>0</v>
      </c>
      <c r="I107" s="535">
        <f t="shared" si="22"/>
        <v>0</v>
      </c>
    </row>
    <row r="108" spans="2:9">
      <c r="B108" s="534"/>
      <c r="C108"/>
      <c r="D108"/>
      <c r="I108" s="361"/>
    </row>
    <row r="109" spans="2:9">
      <c r="B109" s="539"/>
      <c r="C109" s="540"/>
      <c r="D109" s="541"/>
      <c r="E109" s="542"/>
      <c r="F109" s="541"/>
      <c r="G109" s="541"/>
      <c r="H109" s="541"/>
      <c r="I109" s="543"/>
    </row>
    <row r="110" spans="2:9">
      <c r="B110"/>
      <c r="D110"/>
    </row>
    <row r="111" spans="2:9">
      <c r="B111"/>
      <c r="C111"/>
      <c r="D111"/>
    </row>
    <row r="112" spans="2:9">
      <c r="B112" s="351"/>
      <c r="D112"/>
    </row>
    <row r="113" spans="2:9">
      <c r="B113" s="6" t="s">
        <v>297</v>
      </c>
      <c r="C113"/>
      <c r="D113"/>
    </row>
    <row r="114" spans="2:9">
      <c r="B114" s="849"/>
      <c r="C114" s="850"/>
      <c r="D114" s="850"/>
      <c r="E114" s="850"/>
      <c r="F114" s="850"/>
      <c r="G114" s="784"/>
      <c r="H114" s="784"/>
      <c r="I114" s="785"/>
    </row>
    <row r="115" spans="2:9">
      <c r="B115" s="362"/>
      <c r="C115" s="363"/>
      <c r="D115" s="364"/>
      <c r="E115" s="337"/>
      <c r="F115" s="337"/>
      <c r="G115" s="337"/>
      <c r="H115" s="337"/>
      <c r="I115" s="365"/>
    </row>
    <row r="116" spans="2:9">
      <c r="B116" s="362"/>
      <c r="C116" s="363"/>
      <c r="D116" s="364"/>
      <c r="E116" s="337"/>
      <c r="F116" s="337"/>
      <c r="G116" s="337"/>
      <c r="H116" s="337"/>
      <c r="I116" s="365"/>
    </row>
    <row r="117" spans="2:9">
      <c r="B117" s="362"/>
      <c r="C117" s="363"/>
      <c r="D117" s="364"/>
      <c r="E117" s="337"/>
      <c r="F117" s="337"/>
      <c r="G117" s="337"/>
      <c r="H117" s="337"/>
      <c r="I117" s="365"/>
    </row>
    <row r="118" spans="2:9">
      <c r="B118" s="362"/>
      <c r="C118" s="363"/>
      <c r="D118" s="364"/>
      <c r="E118" s="337"/>
      <c r="F118" s="337"/>
      <c r="G118" s="337"/>
      <c r="H118" s="337"/>
      <c r="I118" s="365"/>
    </row>
    <row r="119" spans="2:9">
      <c r="B119" s="366"/>
      <c r="C119" s="582"/>
      <c r="D119" s="583"/>
      <c r="E119" s="584"/>
      <c r="F119" s="584"/>
      <c r="G119" s="584"/>
      <c r="H119" s="584"/>
      <c r="I119" s="367"/>
    </row>
    <row r="121" spans="2:9" ht="13.5" customHeight="1"/>
    <row r="127" spans="2:9" ht="15" customHeight="1"/>
    <row r="141" ht="91.5" customHeight="1"/>
  </sheetData>
  <mergeCells count="1">
    <mergeCell ref="B114:F114"/>
  </mergeCells>
  <conditionalFormatting sqref="E59:I59">
    <cfRule type="expression" dxfId="97" priority="56">
      <formula>E$5="Forecast"</formula>
    </cfRule>
  </conditionalFormatting>
  <conditionalFormatting sqref="C35">
    <cfRule type="expression" dxfId="96" priority="52">
      <formula>C$5="Forecast"</formula>
    </cfRule>
  </conditionalFormatting>
  <conditionalFormatting sqref="E86:I86 E71:I71 E67:I69">
    <cfRule type="expression" dxfId="95" priority="48">
      <formula>D$12="N/A"</formula>
    </cfRule>
  </conditionalFormatting>
  <conditionalFormatting sqref="E65:H65">
    <cfRule type="expression" dxfId="94" priority="22">
      <formula>AND(E$5="Actuals",F$5="N/A")</formula>
    </cfRule>
  </conditionalFormatting>
  <conditionalFormatting sqref="I65">
    <cfRule type="expression" dxfId="93" priority="234">
      <formula>AND(I$5="Actuals",#REF!="N/A")</formula>
    </cfRule>
  </conditionalFormatting>
  <conditionalFormatting sqref="E7:I7">
    <cfRule type="expression" dxfId="92" priority="21">
      <formula>AND(E$5="Actuals",F$5="Forecast")</formula>
    </cfRule>
  </conditionalFormatting>
  <conditionalFormatting sqref="E6:H6">
    <cfRule type="expression" dxfId="91" priority="19">
      <formula>AND(E$5="Actuals",F$5="Forecast")</formula>
    </cfRule>
  </conditionalFormatting>
  <conditionalFormatting sqref="I6">
    <cfRule type="expression" dxfId="90" priority="20">
      <formula>AND(I$5="Actuals",#REF!="Forecast")</formula>
    </cfRule>
  </conditionalFormatting>
  <conditionalFormatting sqref="E27:I35">
    <cfRule type="expression" priority="18">
      <formula>$E6="Forecast"</formula>
    </cfRule>
  </conditionalFormatting>
  <conditionalFormatting sqref="E27:I35 E39:I54">
    <cfRule type="expression" priority="17">
      <formula>E$5="Forecast"</formula>
    </cfRule>
  </conditionalFormatting>
  <conditionalFormatting sqref="E20:I20 E65:I65 E83:I83 E71:I71 E67:I68 E105:I106 E86:I88 E90:I90 E92:I93 E95:I97 E74:I74 E78:I78 E99:I103 E13:I18 E24:I24 E27:I36 E39:I55 E57:I59">
    <cfRule type="expression" dxfId="89" priority="16">
      <formula>E$5="Forecast"</formula>
    </cfRule>
  </conditionalFormatting>
  <conditionalFormatting sqref="E107:I107">
    <cfRule type="expression" dxfId="88" priority="14">
      <formula>E$5="Forecast"</formula>
    </cfRule>
  </conditionalFormatting>
  <conditionalFormatting sqref="E77:I77">
    <cfRule type="expression" dxfId="87" priority="11">
      <formula>E$5="Forecast"</formula>
    </cfRule>
  </conditionalFormatting>
  <conditionalFormatting sqref="E77:I77">
    <cfRule type="expression" dxfId="86" priority="12">
      <formula>D$12="N/A"</formula>
    </cfRule>
  </conditionalFormatting>
  <conditionalFormatting sqref="E75:I75">
    <cfRule type="expression" dxfId="85" priority="8">
      <formula>E$5="Forecast"</formula>
    </cfRule>
  </conditionalFormatting>
  <conditionalFormatting sqref="E24:I24">
    <cfRule type="expression" priority="7">
      <formula>$E3="Forecast"</formula>
    </cfRule>
  </conditionalFormatting>
  <conditionalFormatting sqref="E24:I24">
    <cfRule type="expression" priority="6">
      <formula>E$5="Forecast"</formula>
    </cfRule>
  </conditionalFormatting>
  <conditionalFormatting sqref="E24">
    <cfRule type="expression" priority="5">
      <formula>$E3="Forecast"</formula>
    </cfRule>
  </conditionalFormatting>
  <conditionalFormatting sqref="E24">
    <cfRule type="expression" priority="4">
      <formula>E$5="Forecast"</formula>
    </cfRule>
  </conditionalFormatting>
  <conditionalFormatting sqref="E39:E54">
    <cfRule type="expression" priority="3">
      <formula>$E18="Forecast"</formula>
    </cfRule>
  </conditionalFormatting>
  <conditionalFormatting sqref="E58">
    <cfRule type="expression" priority="2">
      <formula>E$5="Forecast"</formula>
    </cfRule>
  </conditionalFormatting>
  <conditionalFormatting sqref="E58">
    <cfRule type="expression" priority="1">
      <formula>$E37="Forecast"</formula>
    </cfRule>
  </conditionalFormatting>
  <pageMargins left="0.70866141732283472" right="0.70866141732283472" top="0.74803149606299213" bottom="0.74803149606299213" header="0.31496062992125984" footer="0.31496062992125984"/>
  <pageSetup paperSize="8" fitToHeight="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9" id="{F64DC2A1-1BFC-4A45-BEAE-BCD4DDABF2EA}">
            <xm:f>'RFPR cover'!$C$7="ESO"</xm:f>
            <x14:dxf>
              <fill>
                <patternFill>
                  <fgColor auto="1"/>
                  <bgColor theme="7" tint="0.79998168889431442"/>
                </patternFill>
              </fill>
            </x14:dxf>
          </x14:cfRule>
          <xm:sqref>E24:I24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FFCC"/>
    <pageSetUpPr fitToPage="1"/>
  </sheetPr>
  <dimension ref="A1:Q236"/>
  <sheetViews>
    <sheetView showGridLines="0" zoomScale="73" zoomScaleNormal="80" workbookViewId="0">
      <pane ySplit="7" topLeftCell="A8" activePane="bottomLeft" state="frozen"/>
      <selection activeCell="B1" sqref="B1"/>
      <selection pane="bottomLeft" activeCell="M17" sqref="M17"/>
    </sheetView>
  </sheetViews>
  <sheetFormatPr defaultColWidth="9.1171875" defaultRowHeight="12.4"/>
  <cols>
    <col min="1" max="1" width="8.3515625" style="2" customWidth="1"/>
    <col min="2" max="2" width="64.46875" style="66" customWidth="1"/>
    <col min="3" max="3" width="13.3515625" style="69" customWidth="1"/>
    <col min="4" max="8" width="11.1171875" style="2" customWidth="1"/>
    <col min="9" max="10" width="12.87890625" style="2" customWidth="1"/>
    <col min="11" max="16384" width="9.1171875" style="2"/>
  </cols>
  <sheetData>
    <row r="1" spans="1:16" customFormat="1" ht="20.65">
      <c r="A1" s="777" t="s">
        <v>298</v>
      </c>
      <c r="B1" s="396"/>
      <c r="C1" s="403"/>
      <c r="D1" s="398"/>
      <c r="E1" s="398"/>
      <c r="F1" s="398"/>
      <c r="G1" s="398"/>
      <c r="H1" s="398"/>
      <c r="I1" s="399"/>
      <c r="J1" s="399"/>
      <c r="K1" s="786"/>
    </row>
    <row r="2" spans="1:16" customFormat="1" ht="20.65">
      <c r="A2" s="295" t="str">
        <f>Licensee</f>
        <v>Cadent-NW</v>
      </c>
      <c r="B2" s="298"/>
      <c r="C2" s="68"/>
      <c r="D2" s="16"/>
      <c r="E2" s="16"/>
      <c r="F2" s="16"/>
      <c r="G2" s="16"/>
      <c r="H2" s="16"/>
      <c r="I2" s="15"/>
      <c r="J2" s="15"/>
      <c r="K2" s="65"/>
    </row>
    <row r="3" spans="1:16" customFormat="1" ht="20.65">
      <c r="A3" s="290">
        <f>Reporting_Year</f>
        <v>2022</v>
      </c>
      <c r="B3" s="579"/>
      <c r="C3" s="580"/>
      <c r="D3" s="577"/>
      <c r="E3" s="577"/>
      <c r="F3" s="577"/>
      <c r="G3" s="577"/>
      <c r="H3" s="577"/>
      <c r="I3" s="578"/>
      <c r="J3" s="578"/>
      <c r="K3" s="119"/>
    </row>
    <row r="4" spans="1:16" ht="12.75" customHeight="1"/>
    <row r="5" spans="1:16" ht="30" customHeight="1">
      <c r="D5" s="153" t="str">
        <f>IF(D6&lt;=Reporting_Year,"Actuals","Forecast")</f>
        <v>Actuals</v>
      </c>
      <c r="E5" s="153" t="str">
        <f t="shared" ref="E5:I5" si="0">IF(E6&lt;=Reporting_Year,"Actuals","Forecast")</f>
        <v>Forecast</v>
      </c>
      <c r="F5" s="153" t="str">
        <f t="shared" si="0"/>
        <v>Forecast</v>
      </c>
      <c r="G5" s="153" t="str">
        <f t="shared" si="0"/>
        <v>Forecast</v>
      </c>
      <c r="H5" s="153" t="str">
        <f t="shared" si="0"/>
        <v>Forecast</v>
      </c>
      <c r="I5" s="153" t="str">
        <f t="shared" si="0"/>
        <v>Forecast</v>
      </c>
    </row>
    <row r="6" spans="1:16" ht="27.75" customHeight="1">
      <c r="D6" s="62">
        <f>'RFPR cover'!$C$6</f>
        <v>2022</v>
      </c>
      <c r="E6" s="63">
        <f>D6+1</f>
        <v>2023</v>
      </c>
      <c r="F6" s="63">
        <f t="shared" ref="F6:H6" si="1">E6+1</f>
        <v>2024</v>
      </c>
      <c r="G6" s="63">
        <f t="shared" si="1"/>
        <v>2025</v>
      </c>
      <c r="H6" s="63">
        <f t="shared" si="1"/>
        <v>2026</v>
      </c>
      <c r="I6" s="49" t="str">
        <f>"Cumulative to "&amp;'RFPR cover'!$C$9</f>
        <v>Cumulative to 2022</v>
      </c>
      <c r="J6" s="64" t="s">
        <v>191</v>
      </c>
    </row>
    <row r="7" spans="1:16">
      <c r="D7" s="42" t="str">
        <f>RIIO_2_start_date-1&amp;"/"&amp;RIGHT(RIIO_2_start_date,2)</f>
        <v>2021/22</v>
      </c>
      <c r="E7" s="42" t="str">
        <f>RIIO_2_start_date&amp;"/"&amp;RIGHT(RIIO_2_start_date+1,2)</f>
        <v>2022/23</v>
      </c>
      <c r="F7" s="42" t="str">
        <f>RIIO_2_start_date+1&amp;"/"&amp;RIGHT(RIIO_2_start_date+2,2)</f>
        <v>2023/24</v>
      </c>
      <c r="G7" s="42" t="str">
        <f>RIIO_2_start_date+2&amp;"/"&amp;RIGHT(RIIO_2_start_date+3,2)</f>
        <v>2024/25</v>
      </c>
      <c r="H7" s="42" t="str">
        <f>RIIO_2_start_date+3&amp;"/"&amp;RIGHT(RIIO_2_start_date+4,2)</f>
        <v>2025/26</v>
      </c>
    </row>
    <row r="8" spans="1:16">
      <c r="B8" s="512" t="s">
        <v>299</v>
      </c>
      <c r="C8" s="128"/>
      <c r="D8" s="128"/>
      <c r="E8" s="128"/>
      <c r="F8" s="128"/>
      <c r="G8" s="128"/>
      <c r="H8" s="129"/>
      <c r="I8" s="129"/>
      <c r="J8" s="129"/>
      <c r="K8" s="66"/>
    </row>
    <row r="9" spans="1:16">
      <c r="B9" s="775" t="s">
        <v>300</v>
      </c>
      <c r="C9" s="776"/>
      <c r="D9" s="776"/>
      <c r="E9" s="776"/>
      <c r="F9" s="776"/>
      <c r="G9" s="776"/>
      <c r="H9" s="776"/>
      <c r="I9" s="776"/>
      <c r="J9" s="776"/>
      <c r="K9" s="66"/>
      <c r="L9" s="66"/>
    </row>
    <row r="11" spans="1:16">
      <c r="B11" s="369" t="s">
        <v>301</v>
      </c>
      <c r="C11" s="368"/>
      <c r="D11" s="41"/>
      <c r="E11" s="41"/>
      <c r="F11" s="41"/>
      <c r="G11" s="41"/>
      <c r="H11" s="41"/>
      <c r="I11" s="41"/>
      <c r="J11" s="41"/>
      <c r="K11" s="66"/>
    </row>
    <row r="12" spans="1:16">
      <c r="B12" s="155"/>
      <c r="D12" s="1"/>
      <c r="E12" s="1"/>
      <c r="F12" s="1"/>
      <c r="G12" s="1"/>
      <c r="H12" s="1"/>
      <c r="I12" s="1"/>
      <c r="J12" s="1"/>
      <c r="K12" s="66"/>
    </row>
    <row r="13" spans="1:16">
      <c r="B13" s="88" t="s">
        <v>302</v>
      </c>
      <c r="C13" s="38" t="str">
        <f>Data!$C$9</f>
        <v>£m 18/19</v>
      </c>
      <c r="D13" s="425">
        <v>123.01106767593465</v>
      </c>
      <c r="E13" s="425">
        <v>144.90514281270137</v>
      </c>
      <c r="F13" s="425">
        <v>137.41092664066272</v>
      </c>
      <c r="G13" s="425">
        <v>120.0740873066655</v>
      </c>
      <c r="H13" s="425">
        <v>112.08469170846067</v>
      </c>
      <c r="I13" s="55">
        <f>SUM(D13:INDEX(D13:H13,0,MATCH('RFPR cover'!$C$9,$D$6:$H$6,0)))</f>
        <v>123.01106767593465</v>
      </c>
      <c r="J13" s="56">
        <f>SUM(D13:H13)</f>
        <v>637.485916144425</v>
      </c>
      <c r="K13" s="66"/>
    </row>
    <row r="14" spans="1:16" ht="17.25" customHeight="1">
      <c r="B14" s="67" t="s">
        <v>303</v>
      </c>
      <c r="C14" s="38" t="str">
        <f>Data!$C$9</f>
        <v>£m 18/19</v>
      </c>
      <c r="D14" s="425">
        <v>130.01230376321772</v>
      </c>
      <c r="E14" s="425">
        <v>135.52220987369736</v>
      </c>
      <c r="F14" s="425">
        <v>131.93311050722474</v>
      </c>
      <c r="G14" s="425">
        <v>119.31301214556277</v>
      </c>
      <c r="H14" s="425">
        <v>114.58152095343569</v>
      </c>
      <c r="I14" s="53">
        <f>SUM(D14:INDEX(D14:H14,0,MATCH('RFPR cover'!$C$9,$D$6:$H$6,0)))</f>
        <v>130.01230376321772</v>
      </c>
      <c r="J14" s="54">
        <f>SUM(D14:H14)</f>
        <v>631.36215724313831</v>
      </c>
      <c r="K14" s="36"/>
    </row>
    <row r="15" spans="1:16">
      <c r="B15" s="243" t="s">
        <v>304</v>
      </c>
      <c r="C15" s="38" t="str">
        <f>Data!$C$9</f>
        <v>£m 18/19</v>
      </c>
      <c r="D15" s="637">
        <f>D14-D13</f>
        <v>7.0012360872830612</v>
      </c>
      <c r="E15" s="637">
        <f t="shared" ref="E15:J15" si="2">E14-E13</f>
        <v>-9.3829329390040073</v>
      </c>
      <c r="F15" s="637">
        <f t="shared" si="2"/>
        <v>-5.4778161334379831</v>
      </c>
      <c r="G15" s="637">
        <f t="shared" si="2"/>
        <v>-0.76107516110273821</v>
      </c>
      <c r="H15" s="637">
        <f t="shared" si="2"/>
        <v>2.496829244975018</v>
      </c>
      <c r="I15" s="50">
        <f t="shared" si="2"/>
        <v>7.0012360872830612</v>
      </c>
      <c r="J15" s="52">
        <f t="shared" si="2"/>
        <v>-6.123758901286692</v>
      </c>
      <c r="K15" s="804"/>
      <c r="L15" s="804"/>
      <c r="M15" s="804"/>
      <c r="N15"/>
      <c r="O15"/>
      <c r="P15"/>
    </row>
    <row r="16" spans="1:16" ht="13.15">
      <c r="B16" s="243"/>
      <c r="C16" s="38"/>
      <c r="D16" s="32"/>
      <c r="E16" s="32"/>
      <c r="F16" s="32"/>
      <c r="G16" s="32"/>
      <c r="H16" s="32"/>
      <c r="I16" s="32"/>
      <c r="J16" s="32"/>
      <c r="K16" s="37"/>
      <c r="L16" s="37"/>
      <c r="M16" s="37"/>
      <c r="N16"/>
      <c r="O16"/>
      <c r="P16"/>
    </row>
    <row r="17" spans="2:16">
      <c r="B17" s="66" t="s">
        <v>305</v>
      </c>
      <c r="C17" s="69" t="s">
        <v>194</v>
      </c>
      <c r="D17" s="58">
        <f>INDEX(Data!$C$55:$C$83,MATCH('RFPR cover'!$C$7,Data!$B$55:$B$83,0),0)</f>
        <v>0.5</v>
      </c>
      <c r="E17" s="58">
        <f>INDEX(Data!$C$55:$C$83,MATCH('RFPR cover'!$C$7,Data!$B$55:$B$83,0),0)</f>
        <v>0.5</v>
      </c>
      <c r="F17" s="58">
        <f>INDEX(Data!$C$55:$C$83,MATCH('RFPR cover'!$C$7,Data!$B$55:$B$83,0),0)</f>
        <v>0.5</v>
      </c>
      <c r="G17" s="58">
        <f>INDEX(Data!$C$55:$C$83,MATCH('RFPR cover'!$C$7,Data!$B$55:$B$83,0),0)</f>
        <v>0.5</v>
      </c>
      <c r="H17" s="58">
        <f>INDEX(Data!$C$55:$C$83,MATCH('RFPR cover'!$C$7,Data!$B$55:$B$83,0),0)</f>
        <v>0.5</v>
      </c>
      <c r="I17" s="35"/>
      <c r="J17" s="35"/>
      <c r="K17"/>
      <c r="L17"/>
      <c r="M17"/>
      <c r="N17"/>
      <c r="O17"/>
      <c r="P17"/>
    </row>
    <row r="18" spans="2:16">
      <c r="K18"/>
      <c r="L18"/>
      <c r="M18"/>
      <c r="N18"/>
      <c r="O18"/>
      <c r="P18"/>
    </row>
    <row r="19" spans="2:16">
      <c r="B19" s="66" t="s">
        <v>306</v>
      </c>
      <c r="C19" s="38" t="str">
        <f>Data!$C$9</f>
        <v>£m 18/19</v>
      </c>
      <c r="D19" s="637">
        <f>D15*D17</f>
        <v>3.5006180436415306</v>
      </c>
      <c r="E19" s="637">
        <f t="shared" ref="E19:H19" si="3">E15*E17</f>
        <v>-4.6914664695020036</v>
      </c>
      <c r="F19" s="637">
        <f t="shared" si="3"/>
        <v>-2.7389080667189916</v>
      </c>
      <c r="G19" s="637">
        <f t="shared" si="3"/>
        <v>-0.3805375805513691</v>
      </c>
      <c r="H19" s="637">
        <f t="shared" si="3"/>
        <v>1.248414622487509</v>
      </c>
      <c r="I19" s="46">
        <f>SUM(D19:INDEX(D19:H19,0,MATCH('RFPR cover'!$C$9,$D$6:$H$6,0)))</f>
        <v>3.5006180436415306</v>
      </c>
      <c r="J19" s="48">
        <f>SUM(D19:H19)</f>
        <v>-3.0618794506433247</v>
      </c>
      <c r="K19"/>
      <c r="L19"/>
      <c r="M19"/>
      <c r="N19"/>
      <c r="O19"/>
      <c r="P19"/>
    </row>
    <row r="20" spans="2:16">
      <c r="B20" s="66" t="s">
        <v>307</v>
      </c>
      <c r="C20" s="38" t="str">
        <f>Data!$C$9</f>
        <v>£m 18/19</v>
      </c>
      <c r="D20" s="637">
        <f>D15*(1-D17)</f>
        <v>3.5006180436415306</v>
      </c>
      <c r="E20" s="637">
        <f t="shared" ref="E20:H20" si="4">E15*(1-E17)</f>
        <v>-4.6914664695020036</v>
      </c>
      <c r="F20" s="637">
        <f t="shared" si="4"/>
        <v>-2.7389080667189916</v>
      </c>
      <c r="G20" s="637">
        <f t="shared" si="4"/>
        <v>-0.3805375805513691</v>
      </c>
      <c r="H20" s="637">
        <f t="shared" si="4"/>
        <v>1.248414622487509</v>
      </c>
      <c r="I20" s="43">
        <f>SUM(D20:INDEX(D20:H20,0,MATCH('RFPR cover'!$C$9,$D$6:$H$6,0)))</f>
        <v>3.5006180436415306</v>
      </c>
      <c r="J20" s="45">
        <f>SUM(D20:H20)</f>
        <v>-3.0618794506433247</v>
      </c>
      <c r="L20"/>
      <c r="M20"/>
      <c r="N20"/>
      <c r="O20"/>
      <c r="P20"/>
    </row>
    <row r="21" spans="2:16">
      <c r="C21" s="66"/>
      <c r="D21" s="66"/>
      <c r="E21" s="66"/>
      <c r="F21" s="66"/>
      <c r="G21" s="66"/>
      <c r="H21" s="66"/>
      <c r="I21" s="66"/>
      <c r="J21" s="66"/>
      <c r="L21"/>
      <c r="M21"/>
      <c r="N21"/>
      <c r="O21"/>
      <c r="P21"/>
    </row>
    <row r="22" spans="2:16">
      <c r="B22" s="155" t="s">
        <v>308</v>
      </c>
      <c r="L22"/>
      <c r="M22"/>
    </row>
    <row r="23" spans="2:16">
      <c r="B23" s="376" t="s">
        <v>309</v>
      </c>
      <c r="C23" s="38" t="str">
        <f>Data!$C$9</f>
        <v>£m 18/19</v>
      </c>
      <c r="D23" s="206">
        <v>0.59885566520016709</v>
      </c>
      <c r="E23" s="206">
        <v>-1.590521506884444</v>
      </c>
      <c r="F23" s="206">
        <v>-1.5867827189575368</v>
      </c>
      <c r="G23" s="206">
        <v>-1.592621919057754</v>
      </c>
      <c r="H23" s="206">
        <v>-2.794372175797585</v>
      </c>
      <c r="I23" s="43">
        <f>SUM(D23:INDEX(D23:H23,0,MATCH('RFPR cover'!$C$9,$D$6:$H$6,0)))</f>
        <v>0.59885566520016709</v>
      </c>
      <c r="J23" s="45">
        <f>SUM(D23:H23)</f>
        <v>-6.9654426554971529</v>
      </c>
      <c r="L23"/>
      <c r="M23"/>
      <c r="N23"/>
      <c r="O23"/>
      <c r="P23"/>
    </row>
    <row r="24" spans="2:16">
      <c r="B24" s="376" t="s">
        <v>310</v>
      </c>
      <c r="C24" s="38" t="str">
        <f>Data!$C$9</f>
        <v>£m 18/19</v>
      </c>
      <c r="D24" s="206">
        <v>-0.27878301781202286</v>
      </c>
      <c r="E24" s="206">
        <v>0.8305707627461667</v>
      </c>
      <c r="F24" s="206">
        <v>1.8009790662410294</v>
      </c>
      <c r="G24" s="206">
        <v>-1.3124071539670927</v>
      </c>
      <c r="H24" s="206">
        <v>-0.99994921848791174</v>
      </c>
      <c r="I24" s="43">
        <f>SUM(D24:INDEX(D24:H24,0,MATCH('RFPR cover'!$C$9,$D$6:$H$6,0)))</f>
        <v>-0.27878301781202286</v>
      </c>
      <c r="J24" s="45">
        <f t="shared" ref="J24" si="5">SUM(D24:H24)</f>
        <v>4.0410438720168695E-2</v>
      </c>
      <c r="L24"/>
      <c r="M24"/>
      <c r="N24"/>
      <c r="O24"/>
      <c r="P24"/>
    </row>
    <row r="25" spans="2:16">
      <c r="B25" s="155" t="s">
        <v>311</v>
      </c>
      <c r="C25" s="38" t="str">
        <f>Data!$C$9</f>
        <v>£m 18/19</v>
      </c>
      <c r="D25" s="637">
        <f>SUM(D23:D24)</f>
        <v>0.32007264738814423</v>
      </c>
      <c r="E25" s="637">
        <f t="shared" ref="E25:H25" si="6">SUM(E23:E24)</f>
        <v>-0.75995074413827735</v>
      </c>
      <c r="F25" s="637">
        <f t="shared" si="6"/>
        <v>0.21419634728349268</v>
      </c>
      <c r="G25" s="637">
        <f t="shared" si="6"/>
        <v>-2.9050290730248465</v>
      </c>
      <c r="H25" s="637">
        <f t="shared" si="6"/>
        <v>-3.7943213942854968</v>
      </c>
      <c r="I25" s="43">
        <f>SUM(D25:INDEX(D25:H25,0,MATCH('RFPR cover'!$C$9,$D$6:$H$6,0)))</f>
        <v>0.32007264738814423</v>
      </c>
      <c r="J25" s="45">
        <f t="shared" ref="J25" si="7">SUM(D25:H25)</f>
        <v>-6.9250322167769838</v>
      </c>
      <c r="L25"/>
      <c r="M25"/>
      <c r="N25"/>
      <c r="O25"/>
      <c r="P25"/>
    </row>
    <row r="26" spans="2:16">
      <c r="B26" s="155"/>
      <c r="L26"/>
      <c r="M26"/>
      <c r="N26"/>
      <c r="O26"/>
      <c r="P26"/>
    </row>
    <row r="27" spans="2:16">
      <c r="B27" s="155" t="s">
        <v>312</v>
      </c>
      <c r="L27"/>
      <c r="M27"/>
      <c r="N27"/>
      <c r="O27"/>
      <c r="P27"/>
    </row>
    <row r="28" spans="2:16">
      <c r="B28" s="376" t="s">
        <v>309</v>
      </c>
      <c r="C28" s="38" t="str">
        <f>Data!$C$9</f>
        <v>£m 18/19</v>
      </c>
      <c r="D28" s="206">
        <v>0.67086153005033133</v>
      </c>
      <c r="E28" s="206">
        <v>-0.17425373811832645</v>
      </c>
      <c r="F28" s="206">
        <v>-0.17425373811832645</v>
      </c>
      <c r="G28" s="206">
        <v>-0.17425373811832645</v>
      </c>
      <c r="H28" s="206">
        <v>-0.14810031569535198</v>
      </c>
      <c r="I28" s="43">
        <f>SUM(D28:INDEX(D28:H28,0,MATCH('RFPR cover'!$C$9,$D$6:$H$6,0)))</f>
        <v>0.67086153005033133</v>
      </c>
      <c r="J28" s="45">
        <f>SUM(D28:H28)</f>
        <v>0</v>
      </c>
      <c r="L28"/>
      <c r="M28"/>
      <c r="N28"/>
      <c r="O28"/>
      <c r="P28"/>
    </row>
    <row r="29" spans="2:16">
      <c r="B29" s="376" t="s">
        <v>310</v>
      </c>
      <c r="C29" s="38" t="str">
        <f>Data!$C$9</f>
        <v>£m 18/19</v>
      </c>
      <c r="D29" s="206">
        <v>0</v>
      </c>
      <c r="E29" s="206">
        <v>0</v>
      </c>
      <c r="F29" s="206">
        <v>0</v>
      </c>
      <c r="G29" s="206">
        <v>0</v>
      </c>
      <c r="H29" s="206">
        <v>0</v>
      </c>
      <c r="I29" s="43">
        <f>SUM(D29:INDEX(D29:H29,0,MATCH('RFPR cover'!$C$9,$D$6:$H$6,0)))</f>
        <v>0</v>
      </c>
      <c r="J29" s="45">
        <f t="shared" ref="J29:J30" si="8">SUM(D29:H29)</f>
        <v>0</v>
      </c>
      <c r="L29"/>
      <c r="M29"/>
      <c r="N29"/>
      <c r="O29"/>
      <c r="P29"/>
    </row>
    <row r="30" spans="2:16">
      <c r="B30" s="155" t="s">
        <v>311</v>
      </c>
      <c r="C30" s="38" t="str">
        <f>Data!$C$9</f>
        <v>£m 18/19</v>
      </c>
      <c r="D30" s="637">
        <f>SUM(D28:D29)</f>
        <v>0.67086153005033133</v>
      </c>
      <c r="E30" s="637">
        <f t="shared" ref="E30:H30" si="9">SUM(E28:E29)</f>
        <v>-0.17425373811832645</v>
      </c>
      <c r="F30" s="637">
        <f t="shared" si="9"/>
        <v>-0.17425373811832645</v>
      </c>
      <c r="G30" s="637">
        <f t="shared" si="9"/>
        <v>-0.17425373811832645</v>
      </c>
      <c r="H30" s="637">
        <f t="shared" si="9"/>
        <v>-0.14810031569535198</v>
      </c>
      <c r="I30" s="43">
        <f>SUM(D30:INDEX(D30:H30,0,MATCH('RFPR cover'!$C$9,$D$6:$H$6,0)))</f>
        <v>0.67086153005033133</v>
      </c>
      <c r="J30" s="45">
        <f t="shared" si="8"/>
        <v>0</v>
      </c>
      <c r="L30"/>
      <c r="M30"/>
      <c r="N30"/>
      <c r="O30"/>
      <c r="P30"/>
    </row>
    <row r="31" spans="2:16">
      <c r="B31" s="155"/>
      <c r="L31"/>
      <c r="M31"/>
      <c r="N31"/>
      <c r="O31"/>
      <c r="P31"/>
    </row>
    <row r="32" spans="2:16">
      <c r="B32" s="66" t="s">
        <v>313</v>
      </c>
      <c r="C32" s="38"/>
      <c r="D32" s="637">
        <f>D25*D17</f>
        <v>0.16003632369407211</v>
      </c>
      <c r="E32" s="637">
        <f t="shared" ref="E32:H32" si="10">E25*E17</f>
        <v>-0.37997537206913867</v>
      </c>
      <c r="F32" s="637">
        <f t="shared" si="10"/>
        <v>0.10709817364174634</v>
      </c>
      <c r="G32" s="637">
        <f t="shared" si="10"/>
        <v>-1.4525145365124232</v>
      </c>
      <c r="H32" s="637">
        <f t="shared" si="10"/>
        <v>-1.8971606971427484</v>
      </c>
      <c r="I32" s="46">
        <f>SUM(D32:INDEX(D32:H32,0,MATCH('RFPR cover'!$C$9,$D$6:$H$6,0)))</f>
        <v>0.16003632369407211</v>
      </c>
      <c r="J32" s="48">
        <f>SUM(D32:H32)</f>
        <v>-3.4625161083884919</v>
      </c>
      <c r="L32"/>
      <c r="M32"/>
      <c r="N32"/>
      <c r="O32"/>
      <c r="P32"/>
    </row>
    <row r="33" spans="2:16">
      <c r="B33" s="66" t="s">
        <v>314</v>
      </c>
      <c r="C33" s="38"/>
      <c r="D33" s="637">
        <f>D25*(1-D17)+D30</f>
        <v>0.83089785374440339</v>
      </c>
      <c r="E33" s="637">
        <f t="shared" ref="E33:H33" si="11">E25*(1-E17)+E30</f>
        <v>-0.55422911018746512</v>
      </c>
      <c r="F33" s="637">
        <f t="shared" si="11"/>
        <v>-6.715556447658011E-2</v>
      </c>
      <c r="G33" s="637">
        <f t="shared" si="11"/>
        <v>-1.6267682746307497</v>
      </c>
      <c r="H33" s="637">
        <f t="shared" si="11"/>
        <v>-2.0452610128381004</v>
      </c>
      <c r="I33" s="46">
        <f>SUM(D33:INDEX(D33:H33,0,MATCH('RFPR cover'!$C$9,$D$6:$H$6,0)))</f>
        <v>0.83089785374440339</v>
      </c>
      <c r="J33" s="45">
        <f>SUM(D33:H33)</f>
        <v>-3.4625161083884919</v>
      </c>
      <c r="L33"/>
      <c r="M33"/>
      <c r="N33"/>
      <c r="O33"/>
      <c r="P33"/>
    </row>
    <row r="34" spans="2:16">
      <c r="B34" s="155"/>
      <c r="L34"/>
      <c r="M34"/>
      <c r="N34"/>
      <c r="O34"/>
      <c r="P34"/>
    </row>
    <row r="35" spans="2:16">
      <c r="B35" s="155" t="s">
        <v>315</v>
      </c>
      <c r="L35"/>
      <c r="M35"/>
      <c r="N35"/>
      <c r="O35"/>
      <c r="P35"/>
    </row>
    <row r="36" spans="2:16">
      <c r="B36" s="66" t="s">
        <v>306</v>
      </c>
      <c r="C36" s="38" t="str">
        <f>Data!$C$9</f>
        <v>£m 18/19</v>
      </c>
      <c r="D36" s="637">
        <f>D19+D32</f>
        <v>3.6606543673356029</v>
      </c>
      <c r="E36" s="637">
        <f t="shared" ref="E36:H36" si="12">E19+E32</f>
        <v>-5.0714418415711426</v>
      </c>
      <c r="F36" s="637">
        <f t="shared" si="12"/>
        <v>-2.6318098930772451</v>
      </c>
      <c r="G36" s="637">
        <f t="shared" si="12"/>
        <v>-1.8330521170637923</v>
      </c>
      <c r="H36" s="637">
        <f t="shared" si="12"/>
        <v>-0.64874607465523937</v>
      </c>
      <c r="I36" s="46">
        <f>SUM(D36:INDEX(D36:H36,0,MATCH('RFPR cover'!$C$9,$D$6:$H$6,0)))</f>
        <v>3.6606543673356029</v>
      </c>
      <c r="J36" s="48">
        <f>SUM(D36:H36)</f>
        <v>-6.5243955590318166</v>
      </c>
      <c r="L36"/>
      <c r="M36"/>
      <c r="N36"/>
      <c r="O36"/>
      <c r="P36"/>
    </row>
    <row r="37" spans="2:16">
      <c r="B37" s="66" t="s">
        <v>307</v>
      </c>
      <c r="C37" s="38" t="str">
        <f>Data!$C$9</f>
        <v>£m 18/19</v>
      </c>
      <c r="D37" s="637">
        <f>D20+D33</f>
        <v>4.331515897385934</v>
      </c>
      <c r="E37" s="637">
        <f t="shared" ref="E37:H37" si="13">E20+E33</f>
        <v>-5.2456955796894684</v>
      </c>
      <c r="F37" s="637">
        <f t="shared" si="13"/>
        <v>-2.8060636311955718</v>
      </c>
      <c r="G37" s="637">
        <f t="shared" si="13"/>
        <v>-2.0073058551821186</v>
      </c>
      <c r="H37" s="637">
        <f t="shared" si="13"/>
        <v>-0.79684639035059135</v>
      </c>
      <c r="I37" s="46">
        <f>SUM(D37:INDEX(D37:H37,0,MATCH('RFPR cover'!$C$9,$D$6:$H$6,0)))</f>
        <v>4.331515897385934</v>
      </c>
      <c r="J37" s="45">
        <f t="shared" ref="J37" si="14">SUM(D37:H37)</f>
        <v>-6.5243955590318166</v>
      </c>
      <c r="L37"/>
      <c r="M37"/>
      <c r="N37"/>
      <c r="O37"/>
      <c r="P37"/>
    </row>
    <row r="38" spans="2:16">
      <c r="B38" s="155" t="s">
        <v>316</v>
      </c>
      <c r="C38" s="77" t="str">
        <f>Data!$C$9</f>
        <v>£m 18/19</v>
      </c>
      <c r="D38" s="637">
        <f>SUM(D36:D37)</f>
        <v>7.9921702647215369</v>
      </c>
      <c r="E38" s="637">
        <f t="shared" ref="E38:H38" si="15">SUM(E36:E37)</f>
        <v>-10.317137421260611</v>
      </c>
      <c r="F38" s="637">
        <f t="shared" si="15"/>
        <v>-5.4378735242728169</v>
      </c>
      <c r="G38" s="637">
        <f t="shared" si="15"/>
        <v>-3.8403579722459109</v>
      </c>
      <c r="H38" s="637">
        <f t="shared" si="15"/>
        <v>-1.4455924650058307</v>
      </c>
      <c r="I38" s="43">
        <f>SUM(D38:INDEX(D38:H38,0,MATCH('RFPR cover'!$C$9,$D$6:$H$6,0)))</f>
        <v>7.9921702647215369</v>
      </c>
      <c r="J38" s="45">
        <f t="shared" ref="J38" si="16">SUM(D38:H38)</f>
        <v>-13.048791118063633</v>
      </c>
      <c r="L38"/>
      <c r="M38"/>
      <c r="N38"/>
      <c r="O38"/>
      <c r="P38"/>
    </row>
    <row r="39" spans="2:16">
      <c r="B39" s="155"/>
      <c r="L39"/>
      <c r="M39"/>
      <c r="N39"/>
      <c r="O39"/>
      <c r="P39"/>
    </row>
    <row r="40" spans="2:16">
      <c r="B40" s="369" t="s">
        <v>317</v>
      </c>
      <c r="C40" s="73"/>
      <c r="D40" s="41"/>
      <c r="E40" s="41"/>
      <c r="F40" s="41"/>
      <c r="G40" s="41"/>
      <c r="H40" s="41"/>
      <c r="I40" s="41"/>
      <c r="J40" s="41"/>
    </row>
    <row r="41" spans="2:16">
      <c r="D41" s="1"/>
      <c r="E41" s="1"/>
      <c r="F41" s="1"/>
      <c r="G41" s="1"/>
      <c r="H41" s="1"/>
      <c r="I41" s="1"/>
      <c r="J41" s="1"/>
    </row>
    <row r="42" spans="2:16">
      <c r="B42" s="88" t="s">
        <v>302</v>
      </c>
      <c r="C42" s="38" t="str">
        <f>Data!$C$9</f>
        <v>£m 18/19</v>
      </c>
      <c r="D42" s="425">
        <v>6.6595213787931824</v>
      </c>
      <c r="E42" s="425">
        <v>8.464062479087481</v>
      </c>
      <c r="F42" s="425">
        <v>8.0650738875507901</v>
      </c>
      <c r="G42" s="425">
        <v>7.038839593081657</v>
      </c>
      <c r="H42" s="425">
        <v>7.3098074719793686</v>
      </c>
      <c r="I42" s="215">
        <f>SUM(D42:INDEX(D42:H42,0,MATCH('RFPR cover'!$C$9,$D$6:$H$6,0)))</f>
        <v>6.6595213787931824</v>
      </c>
      <c r="J42" s="216">
        <f>SUM(D42:H42)</f>
        <v>37.537304810492486</v>
      </c>
      <c r="K42" s="36"/>
    </row>
    <row r="43" spans="2:16" ht="15" customHeight="1">
      <c r="B43" s="67" t="s">
        <v>318</v>
      </c>
      <c r="C43" s="38" t="str">
        <f>Data!$C$9</f>
        <v>£m 18/19</v>
      </c>
      <c r="D43" s="425">
        <v>7.2002534257623125</v>
      </c>
      <c r="E43" s="425">
        <v>9.3567847218643365</v>
      </c>
      <c r="F43" s="425">
        <v>10.925293533667015</v>
      </c>
      <c r="G43" s="425">
        <v>7.3172371778102736</v>
      </c>
      <c r="H43" s="425">
        <v>7.6220281851203193</v>
      </c>
      <c r="I43" s="217">
        <f>SUM(D43:INDEX(D43:H43,0,MATCH('RFPR cover'!$C$9,$D$6:$H$6,0)))</f>
        <v>7.2002534257623125</v>
      </c>
      <c r="J43" s="218">
        <f>SUM(D43:H43)</f>
        <v>42.421597044224264</v>
      </c>
      <c r="K43" s="36"/>
    </row>
    <row r="44" spans="2:16">
      <c r="B44" s="243" t="s">
        <v>304</v>
      </c>
      <c r="C44" s="38" t="str">
        <f>Data!$C$9</f>
        <v>£m 18/19</v>
      </c>
      <c r="D44" s="637">
        <f>D43-D42</f>
        <v>0.54073204696913013</v>
      </c>
      <c r="E44" s="637">
        <f t="shared" ref="E44:J44" si="17">E43-E42</f>
        <v>0.89272224277685552</v>
      </c>
      <c r="F44" s="637">
        <f t="shared" si="17"/>
        <v>2.8602196461162244</v>
      </c>
      <c r="G44" s="637">
        <f t="shared" si="17"/>
        <v>0.27839758472861664</v>
      </c>
      <c r="H44" s="637">
        <f t="shared" si="17"/>
        <v>0.31222071314095068</v>
      </c>
      <c r="I44" s="404">
        <f t="shared" si="17"/>
        <v>0.54073204696913013</v>
      </c>
      <c r="J44" s="585">
        <f t="shared" si="17"/>
        <v>4.8842922337317773</v>
      </c>
      <c r="K44" s="90"/>
      <c r="L44" s="90"/>
      <c r="M44" s="90"/>
      <c r="N44"/>
      <c r="O44"/>
      <c r="P44"/>
    </row>
    <row r="45" spans="2:16" ht="13.15">
      <c r="B45" s="243"/>
      <c r="C45" s="38"/>
      <c r="D45" s="32"/>
      <c r="E45" s="32"/>
      <c r="F45" s="32"/>
      <c r="G45" s="32"/>
      <c r="H45" s="32"/>
      <c r="I45" s="32"/>
      <c r="J45" s="32"/>
      <c r="K45" s="37"/>
      <c r="L45" s="37"/>
      <c r="M45" s="37"/>
      <c r="N45"/>
      <c r="O45"/>
      <c r="P45"/>
    </row>
    <row r="46" spans="2:16">
      <c r="B46" s="66" t="s">
        <v>305</v>
      </c>
      <c r="C46" s="69" t="s">
        <v>194</v>
      </c>
      <c r="D46" s="57">
        <f>INDEX(Data!$C$55:$C$83,MATCH('RFPR cover'!$C$7,Data!$B$55:$B$83,0),0)</f>
        <v>0.5</v>
      </c>
      <c r="E46" s="57">
        <f>INDEX(Data!$C$55:$C$83,MATCH('RFPR cover'!$C$7,Data!$B$55:$B$83,0),0)</f>
        <v>0.5</v>
      </c>
      <c r="F46" s="57">
        <f>INDEX(Data!$C$55:$C$83,MATCH('RFPR cover'!$C$7,Data!$B$55:$B$83,0),0)</f>
        <v>0.5</v>
      </c>
      <c r="G46" s="57">
        <f>INDEX(Data!$C$55:$C$83,MATCH('RFPR cover'!$C$7,Data!$B$55:$B$83,0),0)</f>
        <v>0.5</v>
      </c>
      <c r="H46" s="57">
        <f>INDEX(Data!$C$55:$C$83,MATCH('RFPR cover'!$C$7,Data!$B$55:$B$83,0),0)</f>
        <v>0.5</v>
      </c>
      <c r="I46" s="35"/>
      <c r="J46" s="35"/>
      <c r="K46"/>
      <c r="L46"/>
      <c r="M46"/>
      <c r="N46"/>
      <c r="O46"/>
      <c r="P46"/>
    </row>
    <row r="47" spans="2:16">
      <c r="K47"/>
      <c r="L47"/>
      <c r="M47"/>
      <c r="N47"/>
      <c r="O47"/>
      <c r="P47"/>
    </row>
    <row r="48" spans="2:16">
      <c r="B48" s="66" t="s">
        <v>306</v>
      </c>
      <c r="C48" s="38" t="str">
        <f>Data!$C$9</f>
        <v>£m 18/19</v>
      </c>
      <c r="D48" s="637">
        <f>D44*D46</f>
        <v>0.27036602348456507</v>
      </c>
      <c r="E48" s="637">
        <f t="shared" ref="E48:H48" si="18">E44*E46</f>
        <v>0.44636112138842776</v>
      </c>
      <c r="F48" s="637">
        <f t="shared" si="18"/>
        <v>1.4301098230581122</v>
      </c>
      <c r="G48" s="637">
        <f t="shared" si="18"/>
        <v>0.13919879236430832</v>
      </c>
      <c r="H48" s="637">
        <f t="shared" si="18"/>
        <v>0.15611035657047534</v>
      </c>
      <c r="I48" s="142">
        <f>SUM(D48:INDEX(D48:H48,0,MATCH('RFPR cover'!$C$9,$D$6:$H$6,0)))</f>
        <v>0.27036602348456507</v>
      </c>
      <c r="J48" s="198">
        <f>SUM(D48:H48)</f>
        <v>2.4421461168658887</v>
      </c>
      <c r="K48"/>
      <c r="L48"/>
      <c r="M48"/>
      <c r="N48"/>
      <c r="O48"/>
      <c r="P48"/>
    </row>
    <row r="49" spans="2:16">
      <c r="B49" s="66" t="s">
        <v>307</v>
      </c>
      <c r="C49" s="38" t="str">
        <f>Data!$C$9</f>
        <v>£m 18/19</v>
      </c>
      <c r="D49" s="637">
        <f>D44*(1-D46)</f>
        <v>0.27036602348456507</v>
      </c>
      <c r="E49" s="637">
        <f t="shared" ref="E49:H49" si="19">E44*(1-E46)</f>
        <v>0.44636112138842776</v>
      </c>
      <c r="F49" s="637">
        <f t="shared" si="19"/>
        <v>1.4301098230581122</v>
      </c>
      <c r="G49" s="637">
        <f t="shared" si="19"/>
        <v>0.13919879236430832</v>
      </c>
      <c r="H49" s="637">
        <f t="shared" si="19"/>
        <v>0.15611035657047534</v>
      </c>
      <c r="I49" s="201">
        <f>SUM(D49:INDEX(D49:H49,0,MATCH('RFPR cover'!$C$9,$D$6:$H$6,0)))</f>
        <v>0.27036602348456507</v>
      </c>
      <c r="J49" s="202">
        <f>SUM(D49:H49)</f>
        <v>2.4421461168658887</v>
      </c>
      <c r="K49"/>
      <c r="L49"/>
      <c r="M49"/>
      <c r="N49"/>
      <c r="O49"/>
      <c r="P49"/>
    </row>
    <row r="50" spans="2:16">
      <c r="K50"/>
      <c r="L50"/>
      <c r="M50"/>
      <c r="N50"/>
      <c r="O50"/>
      <c r="P50"/>
    </row>
    <row r="51" spans="2:16">
      <c r="B51" s="155" t="s">
        <v>308</v>
      </c>
      <c r="K51"/>
      <c r="L51"/>
      <c r="M51"/>
      <c r="N51"/>
      <c r="O51"/>
      <c r="P51"/>
    </row>
    <row r="52" spans="2:16">
      <c r="B52" s="376" t="s">
        <v>309</v>
      </c>
      <c r="C52" s="38" t="str">
        <f>Data!$C$9</f>
        <v>£m 18/19</v>
      </c>
      <c r="D52" s="206">
        <v>9.7717686282042138E-2</v>
      </c>
      <c r="E52" s="206">
        <v>0.11224004291644718</v>
      </c>
      <c r="F52" s="206">
        <v>0.11811007181916189</v>
      </c>
      <c r="G52" s="206">
        <v>0.11842419781270053</v>
      </c>
      <c r="H52" s="206">
        <v>0.11944639173739802</v>
      </c>
      <c r="I52" s="43">
        <f>SUM(D52:INDEX(D52:H52,0,MATCH('RFPR cover'!$C$9,$D$6:$H$6,0)))</f>
        <v>9.7717686282042138E-2</v>
      </c>
      <c r="J52" s="45">
        <f>SUM(D52:H52)</f>
        <v>0.56593839056774975</v>
      </c>
      <c r="K52"/>
      <c r="L52"/>
      <c r="M52"/>
      <c r="N52"/>
      <c r="O52"/>
      <c r="P52"/>
    </row>
    <row r="53" spans="2:16">
      <c r="B53" s="376" t="s">
        <v>310</v>
      </c>
      <c r="C53" s="38" t="str">
        <f>Data!$C$9</f>
        <v>£m 18/19</v>
      </c>
      <c r="D53" s="206">
        <v>0</v>
      </c>
      <c r="E53" s="206">
        <v>0</v>
      </c>
      <c r="F53" s="206">
        <v>0</v>
      </c>
      <c r="G53" s="206">
        <v>0</v>
      </c>
      <c r="H53" s="206">
        <v>0</v>
      </c>
      <c r="I53" s="43">
        <f>SUM(D53:INDEX(D53:H53,0,MATCH('RFPR cover'!$C$9,$D$6:$H$6,0)))</f>
        <v>0</v>
      </c>
      <c r="J53" s="45">
        <f t="shared" ref="J53:J54" si="20">SUM(D53:H53)</f>
        <v>0</v>
      </c>
      <c r="K53"/>
      <c r="L53"/>
      <c r="M53"/>
      <c r="N53"/>
      <c r="O53"/>
      <c r="P53"/>
    </row>
    <row r="54" spans="2:16">
      <c r="B54" s="155" t="s">
        <v>311</v>
      </c>
      <c r="C54" s="38" t="str">
        <f>Data!$C$9</f>
        <v>£m 18/19</v>
      </c>
      <c r="D54" s="637">
        <f>SUM(D52:D53)</f>
        <v>9.7717686282042138E-2</v>
      </c>
      <c r="E54" s="637">
        <f t="shared" ref="E54" si="21">SUM(E52:E53)</f>
        <v>0.11224004291644718</v>
      </c>
      <c r="F54" s="637">
        <f t="shared" ref="F54" si="22">SUM(F52:F53)</f>
        <v>0.11811007181916189</v>
      </c>
      <c r="G54" s="637">
        <f t="shared" ref="G54" si="23">SUM(G52:G53)</f>
        <v>0.11842419781270053</v>
      </c>
      <c r="H54" s="637">
        <f t="shared" ref="H54" si="24">SUM(H52:H53)</f>
        <v>0.11944639173739802</v>
      </c>
      <c r="I54" s="43">
        <f>SUM(D54:INDEX(D54:H54,0,MATCH('RFPR cover'!$C$9,$D$6:$H$6,0)))</f>
        <v>9.7717686282042138E-2</v>
      </c>
      <c r="J54" s="45">
        <f t="shared" si="20"/>
        <v>0.56593839056774975</v>
      </c>
      <c r="K54" s="155"/>
      <c r="L54" s="155"/>
      <c r="M54" s="155"/>
      <c r="N54" s="155"/>
      <c r="O54"/>
      <c r="P54"/>
    </row>
    <row r="55" spans="2:16">
      <c r="B55" s="155"/>
      <c r="C55" s="155"/>
      <c r="D55" s="155"/>
      <c r="E55" s="155"/>
      <c r="F55" s="155"/>
      <c r="G55" s="155"/>
      <c r="H55" s="155"/>
      <c r="I55" s="155"/>
      <c r="J55" s="155"/>
      <c r="K55" s="155"/>
      <c r="L55" s="155"/>
      <c r="M55" s="155"/>
      <c r="N55" s="155"/>
      <c r="O55"/>
      <c r="P55"/>
    </row>
    <row r="56" spans="2:16">
      <c r="B56" s="155" t="s">
        <v>312</v>
      </c>
      <c r="K56" s="155"/>
      <c r="L56" s="155"/>
      <c r="M56" s="155"/>
      <c r="N56" s="155"/>
      <c r="O56"/>
      <c r="P56"/>
    </row>
    <row r="57" spans="2:16">
      <c r="B57" s="376" t="s">
        <v>309</v>
      </c>
      <c r="C57" s="38" t="str">
        <f>Data!$C$9</f>
        <v>£m 18/19</v>
      </c>
      <c r="D57" s="206">
        <v>0</v>
      </c>
      <c r="E57" s="206">
        <v>0</v>
      </c>
      <c r="F57" s="206">
        <v>0</v>
      </c>
      <c r="G57" s="206">
        <v>0</v>
      </c>
      <c r="H57" s="206">
        <v>0</v>
      </c>
      <c r="I57" s="43">
        <f>SUM(D57:INDEX(D57:H57,0,MATCH('RFPR cover'!$C$9,$D$6:$H$6,0)))</f>
        <v>0</v>
      </c>
      <c r="J57" s="45">
        <f>SUM(D57:H57)</f>
        <v>0</v>
      </c>
      <c r="K57" s="155"/>
      <c r="L57" s="155"/>
      <c r="M57" s="155"/>
      <c r="N57" s="155"/>
      <c r="O57"/>
      <c r="P57"/>
    </row>
    <row r="58" spans="2:16">
      <c r="B58" s="376" t="s">
        <v>310</v>
      </c>
      <c r="C58" s="38" t="str">
        <f>Data!$C$9</f>
        <v>£m 18/19</v>
      </c>
      <c r="D58" s="206">
        <v>0</v>
      </c>
      <c r="E58" s="206">
        <v>0</v>
      </c>
      <c r="F58" s="206">
        <v>0</v>
      </c>
      <c r="G58" s="206">
        <v>0</v>
      </c>
      <c r="H58" s="206">
        <v>0</v>
      </c>
      <c r="I58" s="43">
        <f>SUM(D58:INDEX(D58:H58,0,MATCH('RFPR cover'!$C$9,$D$6:$H$6,0)))</f>
        <v>0</v>
      </c>
      <c r="J58" s="45">
        <f t="shared" ref="J58:J59" si="25">SUM(D58:H58)</f>
        <v>0</v>
      </c>
      <c r="K58" s="155"/>
      <c r="L58" s="155"/>
      <c r="M58" s="155"/>
      <c r="N58" s="155"/>
      <c r="O58"/>
      <c r="P58"/>
    </row>
    <row r="59" spans="2:16">
      <c r="B59" s="155" t="s">
        <v>311</v>
      </c>
      <c r="C59" s="38" t="str">
        <f>Data!$C$9</f>
        <v>£m 18/19</v>
      </c>
      <c r="D59" s="637">
        <f>SUM(D57:D58)</f>
        <v>0</v>
      </c>
      <c r="E59" s="637">
        <f t="shared" ref="E59:H59" si="26">SUM(E57:E58)</f>
        <v>0</v>
      </c>
      <c r="F59" s="637">
        <f t="shared" si="26"/>
        <v>0</v>
      </c>
      <c r="G59" s="637">
        <f t="shared" si="26"/>
        <v>0</v>
      </c>
      <c r="H59" s="637">
        <f t="shared" si="26"/>
        <v>0</v>
      </c>
      <c r="I59" s="43">
        <f>SUM(D59:INDEX(D59:H59,0,MATCH('RFPR cover'!$C$9,$D$6:$H$6,0)))</f>
        <v>0</v>
      </c>
      <c r="J59" s="45">
        <f t="shared" si="25"/>
        <v>0</v>
      </c>
      <c r="K59" s="155"/>
      <c r="L59" s="155"/>
      <c r="M59" s="155"/>
      <c r="N59" s="155"/>
      <c r="O59"/>
      <c r="P59"/>
    </row>
    <row r="60" spans="2:16">
      <c r="B60" s="155"/>
      <c r="C60" s="155"/>
      <c r="D60" s="155"/>
      <c r="E60" s="155"/>
      <c r="F60" s="155"/>
      <c r="G60" s="155"/>
      <c r="H60" s="155"/>
      <c r="I60" s="155"/>
      <c r="J60" s="155"/>
      <c r="K60" s="155"/>
      <c r="L60" s="155"/>
      <c r="M60" s="155"/>
      <c r="N60" s="155"/>
      <c r="O60"/>
      <c r="P60"/>
    </row>
    <row r="61" spans="2:16">
      <c r="B61" s="66" t="s">
        <v>313</v>
      </c>
      <c r="C61" s="38"/>
      <c r="D61" s="637">
        <f>D54*D46</f>
        <v>4.8858843141021069E-2</v>
      </c>
      <c r="E61" s="637">
        <f t="shared" ref="E61:H61" si="27">E54*E46</f>
        <v>5.612002145822359E-2</v>
      </c>
      <c r="F61" s="637">
        <f t="shared" si="27"/>
        <v>5.9055035909580944E-2</v>
      </c>
      <c r="G61" s="637">
        <f t="shared" si="27"/>
        <v>5.9212098906350263E-2</v>
      </c>
      <c r="H61" s="637">
        <f t="shared" si="27"/>
        <v>5.9723195868699008E-2</v>
      </c>
      <c r="I61" s="46">
        <f>SUM(D61:INDEX(D61:H61,0,MATCH('RFPR cover'!$C$9,$D$6:$H$6,0)))</f>
        <v>4.8858843141021069E-2</v>
      </c>
      <c r="J61" s="48">
        <f>SUM(D61:H61)</f>
        <v>0.28296919528387487</v>
      </c>
      <c r="K61" s="155"/>
      <c r="L61" s="155"/>
      <c r="M61" s="155"/>
      <c r="N61" s="155"/>
      <c r="O61"/>
      <c r="P61"/>
    </row>
    <row r="62" spans="2:16">
      <c r="B62" s="66" t="s">
        <v>314</v>
      </c>
      <c r="C62" s="38"/>
      <c r="D62" s="637">
        <f>D54*(1-D46)+D59</f>
        <v>4.8858843141021069E-2</v>
      </c>
      <c r="E62" s="637">
        <f t="shared" ref="E62:H62" si="28">E54*(1-E46)+E59</f>
        <v>5.612002145822359E-2</v>
      </c>
      <c r="F62" s="637">
        <f t="shared" si="28"/>
        <v>5.9055035909580944E-2</v>
      </c>
      <c r="G62" s="637">
        <f t="shared" si="28"/>
        <v>5.9212098906350263E-2</v>
      </c>
      <c r="H62" s="637">
        <f t="shared" si="28"/>
        <v>5.9723195868699008E-2</v>
      </c>
      <c r="I62" s="46">
        <f>SUM(D62:INDEX(D62:H62,0,MATCH('RFPR cover'!$C$9,$D$6:$H$6,0)))</f>
        <v>4.8858843141021069E-2</v>
      </c>
      <c r="J62" s="45">
        <f>SUM(D62:H62)</f>
        <v>0.28296919528387487</v>
      </c>
      <c r="K62" s="155"/>
      <c r="L62" s="155"/>
      <c r="M62" s="155"/>
      <c r="N62" s="155"/>
      <c r="O62"/>
      <c r="P62"/>
    </row>
    <row r="63" spans="2:16">
      <c r="B63" s="155"/>
      <c r="C63" s="155"/>
      <c r="D63" s="155"/>
      <c r="E63" s="155"/>
      <c r="F63" s="155"/>
      <c r="G63" s="155"/>
      <c r="H63" s="155"/>
      <c r="I63" s="155"/>
      <c r="J63" s="155"/>
      <c r="K63" s="155"/>
      <c r="L63" s="155"/>
      <c r="M63" s="155"/>
      <c r="N63" s="155"/>
      <c r="O63"/>
      <c r="P63"/>
    </row>
    <row r="64" spans="2:16">
      <c r="B64" s="155" t="s">
        <v>315</v>
      </c>
      <c r="C64" s="155"/>
      <c r="D64" s="155"/>
      <c r="E64" s="155"/>
      <c r="F64" s="155"/>
      <c r="G64" s="155"/>
      <c r="H64" s="155"/>
      <c r="I64" s="155"/>
      <c r="J64" s="155"/>
      <c r="K64" s="155"/>
      <c r="L64" s="155"/>
      <c r="M64" s="155"/>
      <c r="N64" s="155"/>
      <c r="O64"/>
      <c r="P64"/>
    </row>
    <row r="65" spans="2:17">
      <c r="B65" s="66" t="s">
        <v>306</v>
      </c>
      <c r="C65" s="38" t="str">
        <f>Data!$C$9</f>
        <v>£m 18/19</v>
      </c>
      <c r="D65" s="637">
        <f>D61+D48</f>
        <v>0.31922486662558613</v>
      </c>
      <c r="E65" s="637">
        <f t="shared" ref="E65:H65" si="29">E61+E48</f>
        <v>0.50248114284665135</v>
      </c>
      <c r="F65" s="637">
        <f t="shared" si="29"/>
        <v>1.4891648589676931</v>
      </c>
      <c r="G65" s="637">
        <f t="shared" si="29"/>
        <v>0.19841089127065858</v>
      </c>
      <c r="H65" s="637">
        <f t="shared" si="29"/>
        <v>0.21583355243917435</v>
      </c>
      <c r="I65" s="43">
        <f>SUM(D65:INDEX(D65:H65,0,MATCH('RFPR cover'!$C$9,$D$6:$H$6,0)))</f>
        <v>0.31922486662558613</v>
      </c>
      <c r="J65" s="45">
        <f>SUM(D65:H65)</f>
        <v>2.7251153121497635</v>
      </c>
      <c r="K65" s="155"/>
      <c r="L65" s="155"/>
      <c r="M65" s="155"/>
      <c r="N65" s="155"/>
      <c r="O65"/>
      <c r="P65"/>
    </row>
    <row r="66" spans="2:17">
      <c r="B66" s="66" t="s">
        <v>307</v>
      </c>
      <c r="C66" s="38" t="str">
        <f>Data!$C$9</f>
        <v>£m 18/19</v>
      </c>
      <c r="D66" s="637">
        <f>D49+D62</f>
        <v>0.31922486662558613</v>
      </c>
      <c r="E66" s="637">
        <f t="shared" ref="E66:H66" si="30">E49+E62</f>
        <v>0.50248114284665135</v>
      </c>
      <c r="F66" s="637">
        <f t="shared" si="30"/>
        <v>1.4891648589676931</v>
      </c>
      <c r="G66" s="637">
        <f t="shared" si="30"/>
        <v>0.19841089127065858</v>
      </c>
      <c r="H66" s="637">
        <f t="shared" si="30"/>
        <v>0.21583355243917435</v>
      </c>
      <c r="I66" s="43">
        <f>SUM(D66:INDEX(D66:H66,0,MATCH('RFPR cover'!$C$9,$D$6:$H$6,0)))</f>
        <v>0.31922486662558613</v>
      </c>
      <c r="J66" s="45">
        <f t="shared" ref="J66" si="31">SUM(D66:H66)</f>
        <v>2.7251153121497635</v>
      </c>
      <c r="K66" s="155"/>
      <c r="L66" s="155"/>
      <c r="M66" s="155"/>
      <c r="N66" s="155"/>
      <c r="O66"/>
      <c r="P66"/>
    </row>
    <row r="67" spans="2:17">
      <c r="B67" s="155" t="s">
        <v>316</v>
      </c>
      <c r="C67" s="77" t="str">
        <f>Data!$C$9</f>
        <v>£m 18/19</v>
      </c>
      <c r="D67" s="637">
        <f>SUM(D65:D66)</f>
        <v>0.63844973325117227</v>
      </c>
      <c r="E67" s="637">
        <f t="shared" ref="E67:H67" si="32">SUM(E65:E66)</f>
        <v>1.0049622856933027</v>
      </c>
      <c r="F67" s="637">
        <f t="shared" si="32"/>
        <v>2.9783297179353863</v>
      </c>
      <c r="G67" s="637">
        <f t="shared" si="32"/>
        <v>0.39682178254131717</v>
      </c>
      <c r="H67" s="637">
        <f t="shared" si="32"/>
        <v>0.4316671048783487</v>
      </c>
      <c r="I67" s="43">
        <f>SUM(D67:INDEX(D67:H67,0,MATCH('RFPR cover'!$C$9,$D$6:$H$6,0)))</f>
        <v>0.63844973325117227</v>
      </c>
      <c r="J67" s="45">
        <f t="shared" ref="J67" si="33">SUM(D67:H67)</f>
        <v>5.4502306242995271</v>
      </c>
      <c r="K67"/>
      <c r="L67"/>
      <c r="M67"/>
      <c r="N67"/>
      <c r="O67"/>
      <c r="P67"/>
    </row>
    <row r="68" spans="2:17">
      <c r="C68" s="38"/>
      <c r="D68" s="38"/>
      <c r="E68" s="38"/>
      <c r="F68" s="38"/>
      <c r="G68" s="38"/>
      <c r="H68" s="38"/>
      <c r="I68" s="38"/>
      <c r="J68" s="38"/>
      <c r="K68" s="38"/>
      <c r="L68" s="38"/>
      <c r="M68" s="38"/>
      <c r="N68" s="38"/>
      <c r="O68" s="38"/>
      <c r="P68" s="38"/>
      <c r="Q68" s="38"/>
    </row>
    <row r="69" spans="2:17">
      <c r="B69" s="369" t="s">
        <v>319</v>
      </c>
      <c r="C69" s="73"/>
      <c r="D69" s="41"/>
      <c r="E69" s="41"/>
      <c r="F69" s="41"/>
      <c r="G69" s="41"/>
      <c r="H69" s="41"/>
      <c r="I69" s="41"/>
      <c r="J69" s="41"/>
      <c r="K69"/>
      <c r="L69"/>
      <c r="M69"/>
      <c r="N69"/>
      <c r="O69"/>
      <c r="P69"/>
    </row>
    <row r="70" spans="2:17">
      <c r="D70" s="1"/>
      <c r="E70" s="1"/>
      <c r="F70" s="1"/>
      <c r="G70" s="1"/>
      <c r="H70" s="1"/>
      <c r="I70" s="1"/>
      <c r="J70" s="1"/>
      <c r="K70"/>
      <c r="L70"/>
      <c r="M70"/>
      <c r="N70"/>
      <c r="O70"/>
      <c r="P70"/>
    </row>
    <row r="71" spans="2:17">
      <c r="B71" s="88" t="s">
        <v>320</v>
      </c>
      <c r="C71" s="38" t="str">
        <f>Data!$C$9</f>
        <v>£m 18/19</v>
      </c>
      <c r="D71" s="425">
        <v>105.35168894028182</v>
      </c>
      <c r="E71" s="425">
        <v>93.962406683744945</v>
      </c>
      <c r="F71" s="425">
        <v>101.66664154962228</v>
      </c>
      <c r="G71" s="425">
        <v>91.05907938796642</v>
      </c>
      <c r="H71" s="425">
        <v>92.347622545341579</v>
      </c>
      <c r="I71" s="215">
        <f>SUM(D71:INDEX(D71:H71,0,MATCH('RFPR cover'!$C$9,$D$6:$H$6,0)))</f>
        <v>105.35168894028182</v>
      </c>
      <c r="J71" s="216">
        <f>SUM(D71:H71)</f>
        <v>484.387439106957</v>
      </c>
      <c r="K71"/>
      <c r="L71"/>
      <c r="M71"/>
      <c r="N71"/>
      <c r="O71"/>
      <c r="P71"/>
    </row>
    <row r="72" spans="2:17" ht="16.5" customHeight="1">
      <c r="B72" s="67" t="s">
        <v>321</v>
      </c>
      <c r="C72" s="11" t="str">
        <f>Data!$C$9</f>
        <v>£m 18/19</v>
      </c>
      <c r="D72" s="425">
        <v>107.5959141761254</v>
      </c>
      <c r="E72" s="425">
        <v>110.72187171592381</v>
      </c>
      <c r="F72" s="425">
        <v>115.59241086491585</v>
      </c>
      <c r="G72" s="425">
        <v>102.82961240830136</v>
      </c>
      <c r="H72" s="425">
        <v>101.79877209882517</v>
      </c>
      <c r="I72" s="427">
        <f>SUM(D72:INDEX(D72:H72,0,MATCH('RFPR cover'!$C$9,$D$6:$H$6,0)))</f>
        <v>107.5959141761254</v>
      </c>
      <c r="J72" s="428">
        <f>SUM(D72:H72)</f>
        <v>538.53858126409159</v>
      </c>
      <c r="K72" s="429"/>
      <c r="L72" s="429"/>
      <c r="M72" s="429"/>
      <c r="N72" s="429"/>
      <c r="O72" s="429"/>
      <c r="P72" s="429"/>
    </row>
    <row r="73" spans="2:17">
      <c r="B73" s="243" t="s">
        <v>304</v>
      </c>
      <c r="C73" s="38" t="str">
        <f>Data!$C$9</f>
        <v>£m 18/19</v>
      </c>
      <c r="D73" s="637">
        <f>D72-D71</f>
        <v>2.2442252358435866</v>
      </c>
      <c r="E73" s="637">
        <f t="shared" ref="E73:J73" si="34">E72-E71</f>
        <v>16.759465032178866</v>
      </c>
      <c r="F73" s="637">
        <f t="shared" si="34"/>
        <v>13.925769315293564</v>
      </c>
      <c r="G73" s="637">
        <f t="shared" si="34"/>
        <v>11.770533020334938</v>
      </c>
      <c r="H73" s="637">
        <f t="shared" si="34"/>
        <v>9.4511495534835888</v>
      </c>
      <c r="I73" s="404">
        <f t="shared" si="34"/>
        <v>2.2442252358435866</v>
      </c>
      <c r="J73" s="585">
        <f t="shared" si="34"/>
        <v>54.151142157134586</v>
      </c>
      <c r="K73"/>
      <c r="L73"/>
      <c r="M73"/>
      <c r="N73"/>
      <c r="O73"/>
      <c r="P73"/>
    </row>
    <row r="74" spans="2:17">
      <c r="B74" s="243"/>
      <c r="C74" s="38"/>
      <c r="D74" s="32"/>
      <c r="E74" s="32"/>
      <c r="F74" s="32"/>
      <c r="G74" s="32"/>
      <c r="H74" s="32"/>
      <c r="I74" s="32"/>
      <c r="J74" s="32"/>
      <c r="K74"/>
      <c r="L74"/>
      <c r="M74"/>
      <c r="N74"/>
      <c r="O74"/>
      <c r="P74"/>
    </row>
    <row r="75" spans="2:17">
      <c r="B75" s="66" t="s">
        <v>305</v>
      </c>
      <c r="C75" s="69" t="s">
        <v>194</v>
      </c>
      <c r="D75" s="57">
        <f>INDEX(Data!$C$55:$C$83,MATCH('RFPR cover'!$C$7,Data!$B$55:$B$83,0),0)</f>
        <v>0.5</v>
      </c>
      <c r="E75" s="57">
        <f>INDEX(Data!$C$55:$C$83,MATCH('RFPR cover'!$C$7,Data!$B$55:$B$83,0),0)</f>
        <v>0.5</v>
      </c>
      <c r="F75" s="57">
        <f>INDEX(Data!$C$55:$C$83,MATCH('RFPR cover'!$C$7,Data!$B$55:$B$83,0),0)</f>
        <v>0.5</v>
      </c>
      <c r="G75" s="57">
        <f>INDEX(Data!$C$55:$C$83,MATCH('RFPR cover'!$C$7,Data!$B$55:$B$83,0),0)</f>
        <v>0.5</v>
      </c>
      <c r="H75" s="57">
        <f>INDEX(Data!$C$55:$C$83,MATCH('RFPR cover'!$C$7,Data!$B$55:$B$83,0),0)</f>
        <v>0.5</v>
      </c>
      <c r="I75" s="35"/>
      <c r="J75" s="35"/>
      <c r="K75"/>
      <c r="L75"/>
      <c r="M75"/>
      <c r="N75"/>
      <c r="O75"/>
      <c r="P75"/>
    </row>
    <row r="76" spans="2:17">
      <c r="K76"/>
      <c r="L76"/>
      <c r="M76"/>
      <c r="N76"/>
      <c r="O76"/>
      <c r="P76"/>
    </row>
    <row r="77" spans="2:17">
      <c r="B77" s="66" t="s">
        <v>306</v>
      </c>
      <c r="C77" s="38" t="str">
        <f>Data!$C$9</f>
        <v>£m 18/19</v>
      </c>
      <c r="D77" s="637">
        <f>D73*D75</f>
        <v>1.1221126179217933</v>
      </c>
      <c r="E77" s="637">
        <f t="shared" ref="E77:H77" si="35">E73*E75</f>
        <v>8.3797325160894331</v>
      </c>
      <c r="F77" s="637">
        <f t="shared" si="35"/>
        <v>6.9628846576467822</v>
      </c>
      <c r="G77" s="637">
        <f t="shared" si="35"/>
        <v>5.8852665101674688</v>
      </c>
      <c r="H77" s="637">
        <f t="shared" si="35"/>
        <v>4.7255747767417944</v>
      </c>
      <c r="I77" s="142">
        <f>SUM(D77:INDEX(D77:H77,0,MATCH('RFPR cover'!$C$9,$D$6:$H$6,0)))</f>
        <v>1.1221126179217933</v>
      </c>
      <c r="J77" s="198">
        <f>SUM(D77:H77)</f>
        <v>27.075571078567272</v>
      </c>
      <c r="K77"/>
      <c r="L77"/>
      <c r="M77"/>
      <c r="N77"/>
      <c r="O77"/>
      <c r="P77"/>
    </row>
    <row r="78" spans="2:17">
      <c r="B78" s="66" t="s">
        <v>307</v>
      </c>
      <c r="C78" s="38" t="str">
        <f>Data!$C$9</f>
        <v>£m 18/19</v>
      </c>
      <c r="D78" s="637">
        <f>D73*(1-D75)</f>
        <v>1.1221126179217933</v>
      </c>
      <c r="E78" s="637">
        <f t="shared" ref="E78:H78" si="36">E73*(1-E75)</f>
        <v>8.3797325160894331</v>
      </c>
      <c r="F78" s="637">
        <f t="shared" si="36"/>
        <v>6.9628846576467822</v>
      </c>
      <c r="G78" s="637">
        <f t="shared" si="36"/>
        <v>5.8852665101674688</v>
      </c>
      <c r="H78" s="637">
        <f t="shared" si="36"/>
        <v>4.7255747767417944</v>
      </c>
      <c r="I78" s="201">
        <f>SUM(D78:INDEX(D78:H78,0,MATCH('RFPR cover'!$C$9,$D$6:$H$6,0)))</f>
        <v>1.1221126179217933</v>
      </c>
      <c r="J78" s="202">
        <f>SUM(D78:H78)</f>
        <v>27.075571078567272</v>
      </c>
      <c r="K78"/>
      <c r="L78"/>
      <c r="M78"/>
      <c r="N78"/>
      <c r="O78"/>
      <c r="P78"/>
    </row>
    <row r="79" spans="2:17">
      <c r="C79" s="66"/>
      <c r="D79" s="66"/>
      <c r="E79" s="66"/>
      <c r="F79" s="66"/>
      <c r="G79" s="66"/>
      <c r="H79" s="66"/>
      <c r="I79" s="66"/>
      <c r="J79" s="66"/>
      <c r="K79" s="66"/>
      <c r="L79" s="66"/>
      <c r="M79"/>
      <c r="N79"/>
      <c r="O79"/>
      <c r="P79"/>
    </row>
    <row r="80" spans="2:17">
      <c r="B80" s="155" t="s">
        <v>308</v>
      </c>
      <c r="K80" s="66"/>
      <c r="L80" s="66"/>
      <c r="M80"/>
      <c r="N80"/>
      <c r="O80"/>
      <c r="P80"/>
    </row>
    <row r="81" spans="2:16">
      <c r="B81" s="376" t="s">
        <v>309</v>
      </c>
      <c r="C81" s="38" t="str">
        <f>Data!$C$9</f>
        <v>£m 18/19</v>
      </c>
      <c r="D81" s="206">
        <v>-6.8637694908252662</v>
      </c>
      <c r="E81" s="206">
        <v>-5.6910272878198951</v>
      </c>
      <c r="F81" s="206">
        <v>-5.7728185625673296</v>
      </c>
      <c r="G81" s="206">
        <v>-5.7965277525114747</v>
      </c>
      <c r="H81" s="206">
        <v>-5.7680323479066082</v>
      </c>
      <c r="I81" s="43">
        <f>SUM(D81:INDEX(D81:H81,0,MATCH('RFPR cover'!$C$9,$D$6:$H$6,0)))</f>
        <v>-6.8637694908252662</v>
      </c>
      <c r="J81" s="45">
        <f>SUM(D81:H81)</f>
        <v>-29.892175441630574</v>
      </c>
      <c r="K81" s="66"/>
      <c r="L81" s="66"/>
      <c r="M81"/>
      <c r="N81"/>
      <c r="O81"/>
      <c r="P81"/>
    </row>
    <row r="82" spans="2:16">
      <c r="B82" s="376" t="s">
        <v>310</v>
      </c>
      <c r="C82" s="38" t="str">
        <f>Data!$C$9</f>
        <v>£m 18/19</v>
      </c>
      <c r="D82" s="206">
        <v>-0.75257083414177506</v>
      </c>
      <c r="E82" s="206">
        <v>1.8531069190739544</v>
      </c>
      <c r="F82" s="206">
        <v>4.0182088251263854</v>
      </c>
      <c r="G82" s="206">
        <v>-2.9281439785063039</v>
      </c>
      <c r="H82" s="206">
        <v>-2.2310113702724297</v>
      </c>
      <c r="I82" s="43">
        <f>SUM(D82:INDEX(D82:H82,0,MATCH('RFPR cover'!$C$9,$D$6:$H$6,0)))</f>
        <v>-0.75257083414177506</v>
      </c>
      <c r="J82" s="45">
        <f t="shared" ref="J82:J83" si="37">SUM(D82:H82)</f>
        <v>-4.0410438720168695E-2</v>
      </c>
      <c r="K82" s="66"/>
      <c r="L82" s="66"/>
      <c r="M82"/>
      <c r="N82"/>
      <c r="O82"/>
      <c r="P82"/>
    </row>
    <row r="83" spans="2:16">
      <c r="B83" s="155" t="s">
        <v>311</v>
      </c>
      <c r="C83" s="38" t="str">
        <f>Data!$C$9</f>
        <v>£m 18/19</v>
      </c>
      <c r="D83" s="637">
        <f>SUM(D81:D82)</f>
        <v>-7.6163403249670409</v>
      </c>
      <c r="E83" s="637">
        <f t="shared" ref="E83" si="38">SUM(E81:E82)</f>
        <v>-3.8379203687459409</v>
      </c>
      <c r="F83" s="637">
        <f t="shared" ref="F83" si="39">SUM(F81:F82)</f>
        <v>-1.7546097374409442</v>
      </c>
      <c r="G83" s="637">
        <f t="shared" ref="G83" si="40">SUM(G81:G82)</f>
        <v>-8.7246717310177786</v>
      </c>
      <c r="H83" s="637">
        <f t="shared" ref="H83" si="41">SUM(H81:H82)</f>
        <v>-7.9990437181790384</v>
      </c>
      <c r="I83" s="43">
        <f>SUM(D83:INDEX(D83:H83,0,MATCH('RFPR cover'!$C$9,$D$6:$H$6,0)))</f>
        <v>-7.6163403249670409</v>
      </c>
      <c r="J83" s="45">
        <f t="shared" si="37"/>
        <v>-29.932585880350743</v>
      </c>
      <c r="K83" s="66"/>
      <c r="L83" s="66"/>
      <c r="M83"/>
      <c r="N83"/>
      <c r="O83"/>
      <c r="P83"/>
    </row>
    <row r="84" spans="2:16">
      <c r="B84" s="155"/>
      <c r="C84" s="155"/>
      <c r="D84" s="155"/>
      <c r="E84" s="155"/>
      <c r="F84" s="155"/>
      <c r="G84" s="155"/>
      <c r="H84" s="155"/>
      <c r="I84" s="155"/>
      <c r="J84" s="155"/>
      <c r="K84" s="66"/>
      <c r="L84" s="66"/>
      <c r="M84"/>
      <c r="N84"/>
      <c r="O84"/>
      <c r="P84"/>
    </row>
    <row r="85" spans="2:16">
      <c r="B85" s="66" t="s">
        <v>313</v>
      </c>
      <c r="C85" s="38"/>
      <c r="D85" s="637">
        <f>D83*D75</f>
        <v>-3.8081701624835205</v>
      </c>
      <c r="E85" s="637">
        <f t="shared" ref="E85:H85" si="42">E83*E75</f>
        <v>-1.9189601843729704</v>
      </c>
      <c r="F85" s="637">
        <f t="shared" si="42"/>
        <v>-0.87730486872047209</v>
      </c>
      <c r="G85" s="637">
        <f t="shared" si="42"/>
        <v>-4.3623358655088893</v>
      </c>
      <c r="H85" s="637">
        <f t="shared" si="42"/>
        <v>-3.9995218590895192</v>
      </c>
      <c r="I85" s="46">
        <f>SUM(D85:INDEX(D85:H85,0,MATCH('RFPR cover'!$C$9,$D$6:$H$6,0)))</f>
        <v>-3.8081701624835205</v>
      </c>
      <c r="J85" s="48">
        <f>SUM(D85:H85)</f>
        <v>-14.966292940175371</v>
      </c>
      <c r="K85" s="66"/>
      <c r="L85" s="66"/>
      <c r="M85"/>
      <c r="N85"/>
      <c r="O85"/>
      <c r="P85"/>
    </row>
    <row r="86" spans="2:16">
      <c r="B86" s="66" t="s">
        <v>314</v>
      </c>
      <c r="C86" s="38"/>
      <c r="D86" s="637">
        <f>D83*(1-D75)</f>
        <v>-3.8081701624835205</v>
      </c>
      <c r="E86" s="637">
        <f t="shared" ref="E86:H86" si="43">E83*(1-E75)</f>
        <v>-1.9189601843729704</v>
      </c>
      <c r="F86" s="637">
        <f t="shared" si="43"/>
        <v>-0.87730486872047209</v>
      </c>
      <c r="G86" s="637">
        <f t="shared" si="43"/>
        <v>-4.3623358655088893</v>
      </c>
      <c r="H86" s="637">
        <f t="shared" si="43"/>
        <v>-3.9995218590895192</v>
      </c>
      <c r="I86" s="43">
        <v>0</v>
      </c>
      <c r="J86" s="45">
        <f>SUM(D86:H86)</f>
        <v>-14.966292940175371</v>
      </c>
      <c r="K86" s="66"/>
      <c r="L86" s="66"/>
      <c r="M86"/>
      <c r="N86"/>
      <c r="O86"/>
      <c r="P86"/>
    </row>
    <row r="87" spans="2:16">
      <c r="B87" s="155"/>
      <c r="C87" s="155"/>
      <c r="D87" s="155"/>
      <c r="E87" s="155"/>
      <c r="F87" s="155"/>
      <c r="G87" s="155"/>
      <c r="H87" s="155"/>
      <c r="I87" s="155"/>
      <c r="J87" s="155"/>
      <c r="K87" s="66"/>
      <c r="L87" s="66"/>
      <c r="M87"/>
      <c r="N87"/>
      <c r="O87"/>
      <c r="P87"/>
    </row>
    <row r="88" spans="2:16">
      <c r="B88" s="155" t="s">
        <v>315</v>
      </c>
      <c r="C88" s="155"/>
      <c r="D88" s="155"/>
      <c r="E88" s="155"/>
      <c r="F88" s="155"/>
      <c r="G88" s="155"/>
      <c r="H88" s="155"/>
      <c r="I88" s="155"/>
      <c r="J88" s="155"/>
      <c r="K88" s="66"/>
      <c r="L88" s="66"/>
      <c r="M88"/>
      <c r="N88"/>
      <c r="O88"/>
      <c r="P88"/>
    </row>
    <row r="89" spans="2:16">
      <c r="B89" s="66" t="s">
        <v>306</v>
      </c>
      <c r="C89" s="38" t="str">
        <f>Data!$C$9</f>
        <v>£m 18/19</v>
      </c>
      <c r="D89" s="637">
        <f>D85+D77</f>
        <v>-2.6860575445617272</v>
      </c>
      <c r="E89" s="637">
        <f t="shared" ref="E89:H89" si="44">E85+E77</f>
        <v>6.4607723317164627</v>
      </c>
      <c r="F89" s="637">
        <f t="shared" si="44"/>
        <v>6.0855797889263101</v>
      </c>
      <c r="G89" s="637">
        <f t="shared" si="44"/>
        <v>1.5229306446585795</v>
      </c>
      <c r="H89" s="637">
        <f t="shared" si="44"/>
        <v>0.7260529176522752</v>
      </c>
      <c r="I89" s="43">
        <f>SUM(D89:INDEX(D89:H89,0,MATCH('RFPR cover'!$C$9,$D$6:$H$6,0)))</f>
        <v>-2.6860575445617272</v>
      </c>
      <c r="J89" s="45">
        <f>SUM(D89:H89)</f>
        <v>12.1092781383919</v>
      </c>
      <c r="K89" s="66"/>
      <c r="L89" s="66"/>
      <c r="M89"/>
      <c r="N89"/>
      <c r="O89"/>
      <c r="P89"/>
    </row>
    <row r="90" spans="2:16">
      <c r="B90" s="66" t="s">
        <v>307</v>
      </c>
      <c r="C90" s="38" t="str">
        <f>Data!$C$9</f>
        <v>£m 18/19</v>
      </c>
      <c r="D90" s="637">
        <f>D78+D86</f>
        <v>-2.6860575445617272</v>
      </c>
      <c r="E90" s="637">
        <f t="shared" ref="E90:H90" si="45">E78+E86</f>
        <v>6.4607723317164627</v>
      </c>
      <c r="F90" s="637">
        <f t="shared" si="45"/>
        <v>6.0855797889263101</v>
      </c>
      <c r="G90" s="637">
        <f t="shared" si="45"/>
        <v>1.5229306446585795</v>
      </c>
      <c r="H90" s="637">
        <f t="shared" si="45"/>
        <v>0.7260529176522752</v>
      </c>
      <c r="I90" s="43">
        <f>SUM(D90:INDEX(D90:H90,0,MATCH('RFPR cover'!$C$9,$D$6:$H$6,0)))</f>
        <v>-2.6860575445617272</v>
      </c>
      <c r="J90" s="45">
        <f t="shared" ref="J90:J91" si="46">SUM(D90:H90)</f>
        <v>12.1092781383919</v>
      </c>
      <c r="K90" s="66"/>
      <c r="L90" s="66"/>
      <c r="M90"/>
      <c r="N90"/>
      <c r="O90"/>
      <c r="P90"/>
    </row>
    <row r="91" spans="2:16">
      <c r="B91" s="155" t="s">
        <v>316</v>
      </c>
      <c r="C91" s="77" t="str">
        <f>Data!$C$9</f>
        <v>£m 18/19</v>
      </c>
      <c r="D91" s="637">
        <f>SUM(D89:D90)</f>
        <v>-5.3721150891234544</v>
      </c>
      <c r="E91" s="637">
        <f t="shared" ref="E91:H91" si="47">SUM(E89:E90)</f>
        <v>12.921544663432925</v>
      </c>
      <c r="F91" s="637">
        <f t="shared" si="47"/>
        <v>12.17115957785262</v>
      </c>
      <c r="G91" s="637">
        <f t="shared" si="47"/>
        <v>3.045861289317159</v>
      </c>
      <c r="H91" s="637">
        <f t="shared" si="47"/>
        <v>1.4521058353045504</v>
      </c>
      <c r="I91" s="43">
        <f>SUM(D91:INDEX(D91:H91,0,MATCH('RFPR cover'!$C$9,$D$6:$H$6,0)))</f>
        <v>-5.3721150891234544</v>
      </c>
      <c r="J91" s="45">
        <f t="shared" si="46"/>
        <v>24.218556276783801</v>
      </c>
      <c r="K91"/>
      <c r="L91"/>
      <c r="M91"/>
      <c r="N91"/>
      <c r="O91"/>
      <c r="P91"/>
    </row>
    <row r="92" spans="2:16">
      <c r="K92"/>
      <c r="L92"/>
      <c r="M92"/>
      <c r="N92"/>
      <c r="O92"/>
      <c r="P92"/>
    </row>
    <row r="93" spans="2:16">
      <c r="B93" s="241" t="s">
        <v>322</v>
      </c>
      <c r="C93" s="73"/>
      <c r="D93" s="41"/>
      <c r="E93" s="41"/>
      <c r="F93" s="41"/>
      <c r="G93" s="41"/>
      <c r="H93" s="41"/>
      <c r="I93" s="41"/>
      <c r="J93" s="41"/>
      <c r="N93"/>
      <c r="O93"/>
      <c r="P93"/>
    </row>
    <row r="94" spans="2:16">
      <c r="K94"/>
      <c r="L94"/>
      <c r="M94"/>
      <c r="N94"/>
      <c r="O94"/>
      <c r="P94"/>
    </row>
    <row r="95" spans="2:16">
      <c r="B95" s="155" t="s">
        <v>323</v>
      </c>
      <c r="N95"/>
      <c r="O95"/>
      <c r="P95"/>
    </row>
    <row r="96" spans="2:16">
      <c r="B96" s="66" t="s">
        <v>324</v>
      </c>
      <c r="C96" s="38" t="str">
        <f>Data!$C$9</f>
        <v>£m 18/19</v>
      </c>
      <c r="D96" s="637">
        <f t="shared" ref="D96:H97" si="48">D36+D65+D89</f>
        <v>1.2938216893994618</v>
      </c>
      <c r="E96" s="637">
        <f t="shared" si="48"/>
        <v>1.8918116329919714</v>
      </c>
      <c r="F96" s="637">
        <f t="shared" si="48"/>
        <v>4.9429347548167577</v>
      </c>
      <c r="G96" s="637">
        <f t="shared" si="48"/>
        <v>-0.11171058113455423</v>
      </c>
      <c r="H96" s="637">
        <f t="shared" si="48"/>
        <v>0.29314039543621018</v>
      </c>
      <c r="I96" s="43">
        <f>SUM(D96:INDEX(D96:H96,0,MATCH('RFPR cover'!$C$9,$D$6:$H$6,0)))</f>
        <v>1.2938216893994618</v>
      </c>
      <c r="J96" s="45">
        <f>SUM(D96:H96)</f>
        <v>8.3099978915098482</v>
      </c>
      <c r="N96"/>
      <c r="O96" s="351"/>
      <c r="P96"/>
    </row>
    <row r="97" spans="2:16">
      <c r="B97" s="66" t="s">
        <v>307</v>
      </c>
      <c r="C97" s="38" t="str">
        <f>Data!$C$9</f>
        <v>£m 18/19</v>
      </c>
      <c r="D97" s="637">
        <f t="shared" si="48"/>
        <v>1.9646832194497925</v>
      </c>
      <c r="E97" s="637">
        <f t="shared" si="48"/>
        <v>1.7175578948736456</v>
      </c>
      <c r="F97" s="637">
        <f t="shared" si="48"/>
        <v>4.7686810166984319</v>
      </c>
      <c r="G97" s="637">
        <f t="shared" si="48"/>
        <v>-0.28596431925288046</v>
      </c>
      <c r="H97" s="637">
        <f t="shared" si="48"/>
        <v>0.1450400797408582</v>
      </c>
      <c r="I97" s="43">
        <f>SUM(D97:INDEX(D97:H97,0,MATCH('RFPR cover'!$C$9,$D$6:$H$6,0)))</f>
        <v>1.9646832194497925</v>
      </c>
      <c r="J97" s="45">
        <f t="shared" ref="J97:J98" si="49">SUM(D97:H97)</f>
        <v>8.3099978915098482</v>
      </c>
      <c r="N97"/>
      <c r="O97"/>
      <c r="P97"/>
    </row>
    <row r="98" spans="2:16">
      <c r="B98" s="155" t="s">
        <v>325</v>
      </c>
      <c r="C98" s="77" t="str">
        <f>Data!$C$9</f>
        <v>£m 18/19</v>
      </c>
      <c r="D98" s="637">
        <f>SUM(D96:D97)</f>
        <v>3.2585049088492544</v>
      </c>
      <c r="E98" s="637">
        <f t="shared" ref="E98:H98" si="50">SUM(E96:E97)</f>
        <v>3.609369527865617</v>
      </c>
      <c r="F98" s="637">
        <f t="shared" si="50"/>
        <v>9.7116157715151896</v>
      </c>
      <c r="G98" s="637">
        <f t="shared" si="50"/>
        <v>-0.39767490038743469</v>
      </c>
      <c r="H98" s="637">
        <f t="shared" si="50"/>
        <v>0.43818047517706837</v>
      </c>
      <c r="I98" s="43">
        <f>SUM(D98:INDEX(D98:H98,0,MATCH('RFPR cover'!$C$9,$D$6:$H$6,0)))</f>
        <v>3.2585049088492544</v>
      </c>
      <c r="J98" s="45">
        <f t="shared" si="49"/>
        <v>16.619995783019696</v>
      </c>
      <c r="N98"/>
      <c r="O98"/>
      <c r="P98"/>
    </row>
    <row r="99" spans="2:16">
      <c r="B99" s="155"/>
      <c r="C99" s="77"/>
      <c r="D99" s="77"/>
      <c r="E99" s="77"/>
      <c r="F99" s="77"/>
      <c r="G99" s="77"/>
      <c r="H99" s="77"/>
      <c r="I99" s="77"/>
      <c r="J99" s="77"/>
      <c r="N99"/>
      <c r="O99"/>
      <c r="P99"/>
    </row>
    <row r="100" spans="2:16">
      <c r="B100" s="512" t="s">
        <v>326</v>
      </c>
      <c r="C100" s="128"/>
      <c r="D100" s="128"/>
      <c r="E100" s="128"/>
      <c r="F100" s="128"/>
      <c r="G100" s="128"/>
      <c r="H100" s="129"/>
      <c r="I100" s="129"/>
      <c r="J100" s="129"/>
    </row>
    <row r="102" spans="2:16">
      <c r="B102" s="2"/>
    </row>
    <row r="103" spans="2:16">
      <c r="B103" s="3"/>
      <c r="D103" s="153" t="str">
        <f t="shared" ref="D103:H103" si="51">IF(D104&lt;=Reporting_Year,"Actuals","N/A")</f>
        <v>Actuals</v>
      </c>
      <c r="E103" s="154" t="str">
        <f t="shared" si="51"/>
        <v>N/A</v>
      </c>
      <c r="F103" s="154" t="str">
        <f t="shared" si="51"/>
        <v>N/A</v>
      </c>
      <c r="G103" s="154" t="str">
        <f t="shared" si="51"/>
        <v>N/A</v>
      </c>
      <c r="H103" s="154" t="str">
        <f t="shared" si="51"/>
        <v>N/A</v>
      </c>
    </row>
    <row r="104" spans="2:16">
      <c r="B104" s="2"/>
      <c r="D104" s="62">
        <f>'RFPR cover'!$C$6</f>
        <v>2022</v>
      </c>
      <c r="E104" s="63">
        <f t="shared" ref="E104:H104" si="52">D104+1</f>
        <v>2023</v>
      </c>
      <c r="F104" s="63">
        <f t="shared" si="52"/>
        <v>2024</v>
      </c>
      <c r="G104" s="63">
        <f t="shared" si="52"/>
        <v>2025</v>
      </c>
      <c r="H104" s="63">
        <f t="shared" si="52"/>
        <v>2026</v>
      </c>
    </row>
    <row r="105" spans="2:16">
      <c r="B105" s="2"/>
      <c r="D105" s="42" t="str">
        <f>RIIO_2_start_date-1&amp;"/"&amp;RIGHT(RIIO_2_start_date,2)</f>
        <v>2021/22</v>
      </c>
      <c r="E105" s="42" t="str">
        <f>RIIO_2_start_date&amp;"/"&amp;RIGHT(RIIO_2_start_date+1,2)</f>
        <v>2022/23</v>
      </c>
      <c r="F105" s="42" t="str">
        <f>RIIO_2_start_date+1&amp;"/"&amp;RIGHT(RIIO_2_start_date+2,2)</f>
        <v>2023/24</v>
      </c>
      <c r="G105" s="42" t="str">
        <f>RIIO_2_start_date+2&amp;"/"&amp;RIGHT(RIIO_2_start_date+3,2)</f>
        <v>2024/25</v>
      </c>
      <c r="H105" s="42" t="str">
        <f>RIIO_2_start_date+3&amp;"/"&amp;RIGHT(RIIO_2_start_date+4,2)</f>
        <v>2025/26</v>
      </c>
    </row>
    <row r="106" spans="2:16">
      <c r="B106" s="2"/>
      <c r="D106" s="69"/>
      <c r="E106" s="69"/>
      <c r="F106" s="69"/>
      <c r="G106" s="69"/>
      <c r="H106" s="69"/>
      <c r="I106" s="69"/>
    </row>
    <row r="107" spans="2:16">
      <c r="B107" s="5" t="s">
        <v>327</v>
      </c>
      <c r="C107" s="70"/>
      <c r="D107" s="5"/>
      <c r="E107" s="5"/>
      <c r="F107" s="5"/>
      <c r="G107" s="5"/>
      <c r="H107" s="5"/>
      <c r="N107"/>
    </row>
    <row r="108" spans="2:16">
      <c r="B108" s="66" t="s">
        <v>328</v>
      </c>
      <c r="C108" s="75" t="s">
        <v>230</v>
      </c>
      <c r="D108" s="204">
        <v>778</v>
      </c>
      <c r="E108" s="204"/>
      <c r="F108" s="204"/>
      <c r="G108" s="204"/>
      <c r="H108" s="204"/>
    </row>
    <row r="109" spans="2:16">
      <c r="B109" s="66" t="s">
        <v>329</v>
      </c>
      <c r="C109" s="75" t="s">
        <v>230</v>
      </c>
      <c r="D109" s="204">
        <v>3</v>
      </c>
      <c r="E109" s="206"/>
      <c r="F109" s="206"/>
      <c r="G109" s="204"/>
      <c r="H109" s="204"/>
    </row>
    <row r="110" spans="2:16" ht="37.15">
      <c r="B110" s="67" t="s">
        <v>330</v>
      </c>
      <c r="C110" s="75" t="s">
        <v>230</v>
      </c>
      <c r="D110" s="204">
        <v>-2</v>
      </c>
      <c r="E110" s="206"/>
      <c r="F110" s="206"/>
      <c r="G110" s="206"/>
      <c r="H110" s="206"/>
    </row>
    <row r="111" spans="2:16">
      <c r="B111" s="66" t="s">
        <v>331</v>
      </c>
      <c r="C111" s="75" t="s">
        <v>230</v>
      </c>
      <c r="D111" s="204">
        <v>-52.795570429999998</v>
      </c>
      <c r="E111" s="204"/>
      <c r="F111" s="204"/>
      <c r="G111" s="204"/>
      <c r="H111" s="204"/>
    </row>
    <row r="112" spans="2:16">
      <c r="B112" s="66" t="s">
        <v>332</v>
      </c>
      <c r="C112" s="75" t="s">
        <v>230</v>
      </c>
      <c r="D112" s="204">
        <v>0</v>
      </c>
      <c r="E112" s="206"/>
      <c r="F112" s="206"/>
      <c r="G112" s="206"/>
      <c r="H112" s="206"/>
      <c r="O112"/>
      <c r="P112"/>
    </row>
    <row r="113" spans="1:8">
      <c r="B113" s="66" t="s">
        <v>333</v>
      </c>
      <c r="C113" s="75" t="s">
        <v>230</v>
      </c>
      <c r="D113" s="204">
        <v>0</v>
      </c>
      <c r="E113" s="210"/>
      <c r="F113" s="210"/>
      <c r="G113" s="210"/>
      <c r="H113" s="210"/>
    </row>
    <row r="114" spans="1:8">
      <c r="A114" s="3">
        <v>1</v>
      </c>
      <c r="B114" s="376" t="s">
        <v>334</v>
      </c>
      <c r="C114" s="75" t="s">
        <v>230</v>
      </c>
      <c r="D114" s="204">
        <v>0</v>
      </c>
      <c r="E114" s="205"/>
      <c r="F114" s="205"/>
      <c r="G114" s="205"/>
      <c r="H114" s="205"/>
    </row>
    <row r="115" spans="1:8">
      <c r="A115" s="3">
        <v>2</v>
      </c>
      <c r="B115" s="376" t="s">
        <v>334</v>
      </c>
      <c r="C115" s="75" t="s">
        <v>230</v>
      </c>
      <c r="D115" s="204">
        <v>0</v>
      </c>
      <c r="E115" s="206"/>
      <c r="F115" s="206"/>
      <c r="G115" s="206"/>
      <c r="H115" s="206"/>
    </row>
    <row r="116" spans="1:8">
      <c r="A116" s="3">
        <v>3</v>
      </c>
      <c r="B116" s="376" t="s">
        <v>334</v>
      </c>
      <c r="C116" s="75" t="s">
        <v>230</v>
      </c>
      <c r="D116" s="204">
        <v>0</v>
      </c>
      <c r="E116" s="206"/>
      <c r="F116" s="206"/>
      <c r="G116" s="206"/>
      <c r="H116" s="206"/>
    </row>
    <row r="117" spans="1:8">
      <c r="B117" s="5" t="s">
        <v>335</v>
      </c>
      <c r="C117" s="75" t="s">
        <v>230</v>
      </c>
      <c r="D117" s="211">
        <f t="shared" ref="D117:H117" si="53">SUM(D108:D116)</f>
        <v>726.20442957</v>
      </c>
      <c r="E117" s="637">
        <f t="shared" si="53"/>
        <v>0</v>
      </c>
      <c r="F117" s="637">
        <f t="shared" si="53"/>
        <v>0</v>
      </c>
      <c r="G117" s="637">
        <f t="shared" si="53"/>
        <v>0</v>
      </c>
      <c r="H117" s="637">
        <f t="shared" si="53"/>
        <v>0</v>
      </c>
    </row>
    <row r="118" spans="1:8">
      <c r="B118" s="66" t="s">
        <v>336</v>
      </c>
      <c r="C118" s="75" t="s">
        <v>230</v>
      </c>
      <c r="D118" s="204">
        <v>1299</v>
      </c>
      <c r="E118" s="204"/>
      <c r="F118" s="204"/>
      <c r="G118" s="204"/>
      <c r="H118" s="204"/>
    </row>
    <row r="119" spans="1:8">
      <c r="A119" s="3">
        <v>1</v>
      </c>
      <c r="B119" s="376" t="s">
        <v>334</v>
      </c>
      <c r="C119" s="75" t="s">
        <v>230</v>
      </c>
      <c r="D119" s="204">
        <v>0</v>
      </c>
      <c r="E119" s="205"/>
      <c r="F119" s="205"/>
      <c r="G119" s="205"/>
      <c r="H119" s="205"/>
    </row>
    <row r="120" spans="1:8">
      <c r="A120" s="3">
        <v>2</v>
      </c>
      <c r="B120" s="376" t="s">
        <v>334</v>
      </c>
      <c r="C120" s="75" t="s">
        <v>230</v>
      </c>
      <c r="D120" s="204">
        <v>0</v>
      </c>
      <c r="E120" s="206"/>
      <c r="F120" s="206"/>
      <c r="G120" s="206"/>
      <c r="H120" s="206"/>
    </row>
    <row r="121" spans="1:8">
      <c r="A121" s="3">
        <v>3</v>
      </c>
      <c r="B121" s="376" t="s">
        <v>334</v>
      </c>
      <c r="C121" s="75" t="s">
        <v>230</v>
      </c>
      <c r="D121" s="204">
        <v>0</v>
      </c>
      <c r="E121" s="206"/>
      <c r="F121" s="206"/>
      <c r="G121" s="206"/>
      <c r="H121" s="206"/>
    </row>
    <row r="122" spans="1:8">
      <c r="A122" s="3"/>
      <c r="B122" s="5" t="s">
        <v>337</v>
      </c>
      <c r="C122" s="75" t="s">
        <v>230</v>
      </c>
      <c r="D122" s="637">
        <f>SUM(D118:D121)</f>
        <v>1299</v>
      </c>
      <c r="E122" s="637">
        <f t="shared" ref="E122:H122" si="54">SUM(E118:E121)</f>
        <v>0</v>
      </c>
      <c r="F122" s="637">
        <f t="shared" si="54"/>
        <v>0</v>
      </c>
      <c r="G122" s="637">
        <f t="shared" si="54"/>
        <v>0</v>
      </c>
      <c r="H122" s="637">
        <f t="shared" si="54"/>
        <v>0</v>
      </c>
    </row>
    <row r="123" spans="1:8" s="167" customFormat="1" ht="15" customHeight="1">
      <c r="B123" s="256" t="s">
        <v>338</v>
      </c>
      <c r="C123" s="372" t="s">
        <v>230</v>
      </c>
      <c r="D123" s="637">
        <f>SUM(D117,D122)</f>
        <v>2025.20442957</v>
      </c>
      <c r="E123" s="637">
        <f t="shared" ref="E123:H123" si="55">SUM(E117,E122)</f>
        <v>0</v>
      </c>
      <c r="F123" s="637">
        <f t="shared" si="55"/>
        <v>0</v>
      </c>
      <c r="G123" s="637">
        <f t="shared" si="55"/>
        <v>0</v>
      </c>
      <c r="H123" s="637">
        <f t="shared" si="55"/>
        <v>0</v>
      </c>
    </row>
    <row r="124" spans="1:8" ht="7.5" customHeight="1">
      <c r="B124" s="2"/>
      <c r="D124" s="29"/>
      <c r="E124" s="29"/>
      <c r="F124" s="29"/>
      <c r="G124" s="29"/>
      <c r="H124" s="29"/>
    </row>
    <row r="125" spans="1:8" ht="26.65" customHeight="1">
      <c r="B125" s="5" t="s">
        <v>339</v>
      </c>
      <c r="C125" s="75"/>
    </row>
    <row r="126" spans="1:8">
      <c r="B126" s="651" t="s">
        <v>340</v>
      </c>
      <c r="C126" s="75"/>
    </row>
    <row r="127" spans="1:8">
      <c r="A127" s="3">
        <v>1</v>
      </c>
      <c r="B127" s="376" t="s">
        <v>341</v>
      </c>
      <c r="C127" s="75" t="s">
        <v>230</v>
      </c>
      <c r="D127" s="204">
        <v>-10.403745859999999</v>
      </c>
      <c r="E127" s="204"/>
      <c r="F127" s="204"/>
      <c r="G127" s="204"/>
      <c r="H127" s="204"/>
    </row>
    <row r="128" spans="1:8">
      <c r="A128" s="3">
        <v>2</v>
      </c>
      <c r="B128" s="376" t="s">
        <v>342</v>
      </c>
      <c r="C128" s="75" t="s">
        <v>230</v>
      </c>
      <c r="D128" s="204">
        <v>1.79347046</v>
      </c>
      <c r="E128" s="204"/>
      <c r="F128" s="204"/>
      <c r="G128" s="204"/>
      <c r="H128" s="204"/>
    </row>
    <row r="129" spans="1:8">
      <c r="A129" s="3">
        <v>3</v>
      </c>
      <c r="B129" s="376" t="s">
        <v>343</v>
      </c>
      <c r="C129" s="75" t="s">
        <v>230</v>
      </c>
      <c r="D129" s="204">
        <v>-4.6525753400000003</v>
      </c>
      <c r="E129" s="204"/>
      <c r="F129" s="204"/>
      <c r="G129" s="204"/>
      <c r="H129" s="204"/>
    </row>
    <row r="130" spans="1:8">
      <c r="A130" s="3">
        <v>4</v>
      </c>
      <c r="B130" s="376" t="s">
        <v>344</v>
      </c>
      <c r="C130" s="75" t="s">
        <v>230</v>
      </c>
      <c r="D130" s="204">
        <v>-9.5392999500000002</v>
      </c>
      <c r="E130" s="204"/>
      <c r="F130" s="204"/>
      <c r="G130" s="204"/>
      <c r="H130" s="204"/>
    </row>
    <row r="131" spans="1:8">
      <c r="A131" s="3">
        <v>5</v>
      </c>
      <c r="B131" s="376" t="s">
        <v>345</v>
      </c>
      <c r="C131" s="75" t="s">
        <v>230</v>
      </c>
      <c r="D131" s="204">
        <v>3.2850432676048613</v>
      </c>
      <c r="E131" s="204"/>
      <c r="F131" s="204"/>
      <c r="G131" s="204"/>
      <c r="H131" s="204"/>
    </row>
    <row r="132" spans="1:8">
      <c r="A132" s="3">
        <v>6</v>
      </c>
      <c r="B132" s="376" t="s">
        <v>346</v>
      </c>
      <c r="C132" s="75" t="s">
        <v>230</v>
      </c>
      <c r="D132" s="204">
        <v>1.3708620000000005E-2</v>
      </c>
      <c r="E132" s="204"/>
      <c r="F132" s="204"/>
      <c r="G132" s="204"/>
      <c r="H132" s="204"/>
    </row>
    <row r="133" spans="1:8">
      <c r="A133" s="3">
        <v>7</v>
      </c>
      <c r="B133" s="376" t="s">
        <v>347</v>
      </c>
      <c r="C133" s="75" t="s">
        <v>230</v>
      </c>
      <c r="D133" s="204">
        <v>10.0745662</v>
      </c>
      <c r="E133" s="204"/>
      <c r="F133" s="204"/>
      <c r="G133" s="204"/>
      <c r="H133" s="204"/>
    </row>
    <row r="134" spans="1:8">
      <c r="A134" s="3">
        <v>8</v>
      </c>
      <c r="B134" s="376" t="s">
        <v>348</v>
      </c>
      <c r="C134" s="75" t="s">
        <v>230</v>
      </c>
      <c r="D134" s="204">
        <v>-8.8624058323207784</v>
      </c>
      <c r="E134" s="204"/>
      <c r="F134" s="204"/>
      <c r="G134" s="204"/>
      <c r="H134" s="204"/>
    </row>
    <row r="135" spans="1:8">
      <c r="A135" s="3">
        <v>9</v>
      </c>
      <c r="B135" s="376" t="s">
        <v>349</v>
      </c>
      <c r="C135" s="75" t="s">
        <v>230</v>
      </c>
      <c r="D135" s="204">
        <v>-7.1329575300000014</v>
      </c>
      <c r="E135" s="204"/>
      <c r="F135" s="204"/>
      <c r="G135" s="204"/>
      <c r="H135" s="204"/>
    </row>
    <row r="136" spans="1:8">
      <c r="A136" s="3">
        <v>10</v>
      </c>
      <c r="B136" s="376" t="s">
        <v>350</v>
      </c>
      <c r="C136" s="75" t="s">
        <v>230</v>
      </c>
      <c r="D136" s="204">
        <v>-3.1436647999999998</v>
      </c>
      <c r="E136" s="204"/>
      <c r="F136" s="204"/>
      <c r="G136" s="204"/>
      <c r="H136" s="204"/>
    </row>
    <row r="137" spans="1:8">
      <c r="A137" s="3">
        <v>11</v>
      </c>
      <c r="B137" s="376" t="s">
        <v>351</v>
      </c>
      <c r="C137" s="75" t="s">
        <v>230</v>
      </c>
      <c r="D137" s="204">
        <v>-1.2276182099999999</v>
      </c>
      <c r="E137" s="204"/>
      <c r="F137" s="204"/>
      <c r="G137" s="204"/>
      <c r="H137" s="204"/>
    </row>
    <row r="138" spans="1:8">
      <c r="A138" s="3">
        <v>12</v>
      </c>
      <c r="B138" s="376" t="s">
        <v>352</v>
      </c>
      <c r="C138" s="75" t="s">
        <v>230</v>
      </c>
      <c r="D138" s="204">
        <v>0.85310900000000001</v>
      </c>
      <c r="E138" s="204"/>
      <c r="F138" s="204"/>
      <c r="G138" s="204"/>
      <c r="H138" s="204"/>
    </row>
    <row r="139" spans="1:8">
      <c r="A139" s="3">
        <v>13</v>
      </c>
      <c r="B139" s="376" t="s">
        <v>353</v>
      </c>
      <c r="C139" s="75" t="s">
        <v>230</v>
      </c>
      <c r="D139" s="204">
        <v>7.8821960522478731</v>
      </c>
      <c r="E139" s="204"/>
      <c r="F139" s="204"/>
      <c r="G139" s="204"/>
      <c r="H139" s="204"/>
    </row>
    <row r="140" spans="1:8">
      <c r="A140" s="3">
        <v>14</v>
      </c>
      <c r="B140" s="376" t="s">
        <v>354</v>
      </c>
      <c r="C140" s="75" t="s">
        <v>230</v>
      </c>
      <c r="D140" s="204">
        <v>0.70757203000000002</v>
      </c>
      <c r="E140" s="204"/>
      <c r="F140" s="204"/>
      <c r="G140" s="204"/>
      <c r="H140" s="204"/>
    </row>
    <row r="141" spans="1:8">
      <c r="A141" s="3">
        <v>15</v>
      </c>
      <c r="B141" s="376" t="s">
        <v>355</v>
      </c>
      <c r="C141" s="75" t="s">
        <v>230</v>
      </c>
      <c r="D141" s="204">
        <v>-3.2457352284325197E-2</v>
      </c>
      <c r="E141" s="204"/>
      <c r="F141" s="204"/>
      <c r="G141" s="204"/>
      <c r="H141" s="204"/>
    </row>
    <row r="142" spans="1:8">
      <c r="A142" s="3">
        <v>16</v>
      </c>
      <c r="B142" s="376" t="s">
        <v>356</v>
      </c>
      <c r="C142" s="75" t="s">
        <v>230</v>
      </c>
      <c r="D142" s="204">
        <v>-1164.8027251272465</v>
      </c>
      <c r="E142" s="204"/>
      <c r="F142" s="204"/>
      <c r="G142" s="204"/>
      <c r="H142" s="204"/>
    </row>
    <row r="143" spans="1:8" ht="18.75" customHeight="1">
      <c r="A143" s="3"/>
      <c r="B143" s="2" t="s">
        <v>357</v>
      </c>
      <c r="C143" s="75" t="s">
        <v>230</v>
      </c>
      <c r="D143" s="637">
        <f>SUM(D127:D142)</f>
        <v>-1185.1877843719988</v>
      </c>
      <c r="E143" s="637">
        <f>SUM(E127:E142)</f>
        <v>0</v>
      </c>
      <c r="F143" s="637">
        <f>SUM(F127:F142)</f>
        <v>0</v>
      </c>
      <c r="G143" s="637">
        <f>SUM(G127:G142)</f>
        <v>0</v>
      </c>
      <c r="H143" s="637">
        <f>SUM(H127:H142)</f>
        <v>0</v>
      </c>
    </row>
    <row r="144" spans="1:8">
      <c r="A144" s="3"/>
      <c r="B144" s="651" t="s">
        <v>358</v>
      </c>
      <c r="C144" s="5"/>
      <c r="D144" s="5"/>
      <c r="E144" s="5"/>
      <c r="F144" s="5"/>
      <c r="G144" s="5"/>
      <c r="H144" s="5"/>
    </row>
    <row r="145" spans="1:16">
      <c r="A145" s="3">
        <v>17</v>
      </c>
      <c r="B145" s="376" t="s">
        <v>359</v>
      </c>
      <c r="C145" s="75" t="s">
        <v>230</v>
      </c>
      <c r="D145" s="204">
        <v>-2.2717923500000001</v>
      </c>
      <c r="E145" s="204"/>
      <c r="F145" s="204"/>
      <c r="G145" s="204"/>
      <c r="H145" s="204"/>
    </row>
    <row r="146" spans="1:16">
      <c r="A146" s="3">
        <v>18</v>
      </c>
      <c r="B146" s="376" t="s">
        <v>360</v>
      </c>
      <c r="C146" s="75" t="s">
        <v>230</v>
      </c>
      <c r="D146" s="204">
        <v>-56</v>
      </c>
      <c r="E146" s="204"/>
      <c r="F146" s="204"/>
      <c r="G146" s="204"/>
      <c r="H146" s="204"/>
    </row>
    <row r="147" spans="1:16">
      <c r="A147" s="3">
        <v>19</v>
      </c>
      <c r="B147" s="376" t="s">
        <v>361</v>
      </c>
      <c r="C147" s="75" t="s">
        <v>230</v>
      </c>
      <c r="D147" s="204">
        <v>-2.5877505599999999</v>
      </c>
      <c r="E147" s="204"/>
      <c r="F147" s="204"/>
      <c r="G147" s="204"/>
      <c r="H147" s="204"/>
    </row>
    <row r="148" spans="1:16">
      <c r="A148" s="3">
        <v>20</v>
      </c>
      <c r="B148" s="376" t="s">
        <v>362</v>
      </c>
      <c r="C148" s="75" t="s">
        <v>230</v>
      </c>
      <c r="D148" s="204">
        <v>-402.46512377000005</v>
      </c>
      <c r="E148" s="204"/>
      <c r="F148" s="204"/>
      <c r="G148" s="204"/>
      <c r="H148" s="204"/>
      <c r="O148"/>
      <c r="P148"/>
    </row>
    <row r="149" spans="1:16">
      <c r="A149" s="3">
        <v>21</v>
      </c>
      <c r="B149" s="376" t="s">
        <v>334</v>
      </c>
      <c r="C149" s="75" t="s">
        <v>230</v>
      </c>
      <c r="D149" s="204">
        <v>0</v>
      </c>
      <c r="E149" s="204"/>
      <c r="F149" s="204"/>
      <c r="G149" s="204"/>
      <c r="H149" s="204"/>
      <c r="O149"/>
      <c r="P149"/>
    </row>
    <row r="150" spans="1:16">
      <c r="A150" s="3">
        <v>22</v>
      </c>
      <c r="B150" s="376" t="s">
        <v>334</v>
      </c>
      <c r="C150" s="75" t="s">
        <v>230</v>
      </c>
      <c r="D150" s="204">
        <v>0</v>
      </c>
      <c r="E150" s="204"/>
      <c r="F150" s="204"/>
      <c r="G150" s="204"/>
      <c r="H150" s="204"/>
      <c r="O150"/>
      <c r="P150"/>
    </row>
    <row r="151" spans="1:16">
      <c r="A151" s="3">
        <v>23</v>
      </c>
      <c r="B151" s="376" t="s">
        <v>334</v>
      </c>
      <c r="C151" s="75" t="s">
        <v>230</v>
      </c>
      <c r="D151" s="204">
        <v>0</v>
      </c>
      <c r="E151" s="204"/>
      <c r="F151" s="204"/>
      <c r="G151" s="204"/>
      <c r="H151" s="204"/>
      <c r="O151"/>
      <c r="P151"/>
    </row>
    <row r="152" spans="1:16" ht="19.5" customHeight="1">
      <c r="A152" s="3"/>
      <c r="B152" s="2" t="s">
        <v>357</v>
      </c>
      <c r="C152" s="75" t="s">
        <v>230</v>
      </c>
      <c r="D152" s="637">
        <f>SUM(D145:D151)</f>
        <v>-463.32466668000006</v>
      </c>
      <c r="E152" s="637">
        <f t="shared" ref="E152:H152" si="56">SUM(E145:E151)</f>
        <v>0</v>
      </c>
      <c r="F152" s="637">
        <f t="shared" si="56"/>
        <v>0</v>
      </c>
      <c r="G152" s="637">
        <f t="shared" si="56"/>
        <v>0</v>
      </c>
      <c r="H152" s="637">
        <f t="shared" si="56"/>
        <v>0</v>
      </c>
      <c r="O152"/>
      <c r="P152"/>
    </row>
    <row r="153" spans="1:16" ht="17.649999999999999" customHeight="1">
      <c r="B153" s="5" t="s">
        <v>363</v>
      </c>
      <c r="C153" s="75" t="s">
        <v>230</v>
      </c>
      <c r="D153" s="637">
        <f>D143+D152</f>
        <v>-1648.5124510519988</v>
      </c>
      <c r="E153" s="637">
        <f t="shared" ref="E153:H153" si="57">E143+E152</f>
        <v>0</v>
      </c>
      <c r="F153" s="637">
        <f t="shared" si="57"/>
        <v>0</v>
      </c>
      <c r="G153" s="637">
        <f t="shared" si="57"/>
        <v>0</v>
      </c>
      <c r="H153" s="637">
        <f t="shared" si="57"/>
        <v>0</v>
      </c>
      <c r="O153"/>
      <c r="P153"/>
    </row>
    <row r="154" spans="1:16">
      <c r="B154" s="2"/>
      <c r="D154" s="29"/>
      <c r="E154" s="29"/>
      <c r="F154" s="29"/>
      <c r="G154" s="29"/>
      <c r="H154" s="29"/>
      <c r="O154"/>
      <c r="P154"/>
    </row>
    <row r="155" spans="1:16">
      <c r="B155" s="5" t="s">
        <v>364</v>
      </c>
      <c r="C155" s="75" t="s">
        <v>230</v>
      </c>
      <c r="D155" s="637">
        <f>D153+D123</f>
        <v>376.69197851800118</v>
      </c>
      <c r="E155" s="637">
        <f>E153+E123</f>
        <v>0</v>
      </c>
      <c r="F155" s="637">
        <f>F153+F123</f>
        <v>0</v>
      </c>
      <c r="G155" s="637">
        <f>G153+G123</f>
        <v>0</v>
      </c>
      <c r="H155" s="637">
        <f>H153+H123</f>
        <v>0</v>
      </c>
      <c r="O155" s="351"/>
      <c r="P155"/>
    </row>
    <row r="156" spans="1:16">
      <c r="B156" s="2" t="s">
        <v>365</v>
      </c>
      <c r="C156" s="75" t="s">
        <v>23</v>
      </c>
      <c r="D156" s="425">
        <v>347.25082748875769</v>
      </c>
      <c r="E156" s="656"/>
      <c r="F156" s="656"/>
      <c r="G156" s="656"/>
      <c r="H156" s="656"/>
      <c r="I156" s="2" t="s">
        <v>366</v>
      </c>
      <c r="O156"/>
      <c r="P156"/>
    </row>
    <row r="157" spans="1:16">
      <c r="B157" s="2" t="s">
        <v>367</v>
      </c>
      <c r="C157" s="75" t="s">
        <v>230</v>
      </c>
      <c r="D157" s="656">
        <v>0</v>
      </c>
      <c r="E157" s="656"/>
      <c r="F157" s="656"/>
      <c r="G157" s="656"/>
      <c r="H157" s="656"/>
      <c r="I157" s="2" t="s">
        <v>366</v>
      </c>
    </row>
    <row r="158" spans="1:16">
      <c r="B158" s="2" t="s">
        <v>368</v>
      </c>
      <c r="C158" s="75" t="s">
        <v>230</v>
      </c>
      <c r="D158" s="604">
        <f>IF(A2="Cadent",D157,D156*INDEX(real_to_nominal_CF,MATCH(D6,calendar_year,0)))</f>
        <v>376.69197851800101</v>
      </c>
      <c r="E158" s="604">
        <f>IF(B2="Cadent",E157,E156*INDEX(real_to_nominal_CF,MATCH(E6,calendar_year,0)))</f>
        <v>0</v>
      </c>
      <c r="F158" s="604">
        <f>IF(C2="Cadent",F157,F156*INDEX(real_to_nominal_CF,MATCH(F6,calendar_year,0)))</f>
        <v>0</v>
      </c>
      <c r="G158" s="604">
        <f>IF(D2="Cadent",G157,G156*INDEX(real_to_nominal_CF,MATCH(G6,calendar_year,0)))</f>
        <v>0</v>
      </c>
      <c r="H158" s="604">
        <f>IF(E2="Cadent",H157,H156*INDEX(real_to_nominal_CF,MATCH(H6,calendar_year,0)))</f>
        <v>0</v>
      </c>
      <c r="I158"/>
      <c r="O158"/>
      <c r="P158"/>
    </row>
    <row r="159" spans="1:16">
      <c r="B159" s="2"/>
      <c r="C159" s="69" t="s">
        <v>369</v>
      </c>
      <c r="D159" s="212" t="str">
        <f>IF(D$103="Actuals",IF(ABS(D155-D158)&lt;materiality_threshold,"OK","ERROR"),"N/A")</f>
        <v>OK</v>
      </c>
      <c r="E159" s="212" t="str">
        <f>IF(E$103="Actuals",IF(ABS(E155-E158)&lt;materiality_threshold,"OK","ERROR"),"N/A")</f>
        <v>N/A</v>
      </c>
      <c r="F159" s="212" t="str">
        <f>IF(F$103="Actuals",IF(ABS(F155-F158)&lt;materiality_threshold,"OK","ERROR"),"N/A")</f>
        <v>N/A</v>
      </c>
      <c r="G159" s="212" t="str">
        <f>IF(G$103="Actuals",IF(ABS(G155-G158)&lt;materiality_threshold,"OK","ERROR"),"N/A")</f>
        <v>N/A</v>
      </c>
      <c r="H159" s="212" t="str">
        <f>IF(H$103="Actuals",IF(ABS(H155-H158)&lt;materiality_threshold,"OK","ERROR"),"N/A")</f>
        <v>N/A</v>
      </c>
      <c r="O159"/>
      <c r="P159"/>
    </row>
    <row r="160" spans="1:16">
      <c r="B160" s="2" t="s">
        <v>157</v>
      </c>
      <c r="O160"/>
      <c r="P160"/>
    </row>
    <row r="161" spans="1:16">
      <c r="B161" s="5" t="s">
        <v>370</v>
      </c>
      <c r="C161" s="75"/>
    </row>
    <row r="162" spans="1:16">
      <c r="A162" s="3">
        <v>1</v>
      </c>
      <c r="B162" s="376" t="s">
        <v>371</v>
      </c>
      <c r="C162" s="75" t="s">
        <v>230</v>
      </c>
      <c r="D162" s="204">
        <v>14.79920598494741</v>
      </c>
      <c r="E162" s="204"/>
      <c r="F162" s="204"/>
      <c r="G162" s="204"/>
      <c r="H162" s="204"/>
    </row>
    <row r="163" spans="1:16">
      <c r="A163" s="3">
        <v>2</v>
      </c>
      <c r="B163" s="376" t="s">
        <v>372</v>
      </c>
      <c r="C163" s="75" t="s">
        <v>230</v>
      </c>
      <c r="D163" s="204">
        <v>2.6548679160000002</v>
      </c>
      <c r="E163" s="206"/>
      <c r="F163" s="206"/>
      <c r="G163" s="206"/>
      <c r="H163" s="206"/>
    </row>
    <row r="164" spans="1:16">
      <c r="A164" s="3">
        <v>3</v>
      </c>
      <c r="B164" s="376" t="s">
        <v>373</v>
      </c>
      <c r="C164" s="75" t="s">
        <v>230</v>
      </c>
      <c r="D164" s="204">
        <v>50.576025600000008</v>
      </c>
      <c r="E164" s="206"/>
      <c r="F164" s="206"/>
      <c r="G164" s="206"/>
      <c r="H164" s="206"/>
    </row>
    <row r="165" spans="1:16">
      <c r="A165" s="3">
        <v>4</v>
      </c>
      <c r="B165" s="376" t="s">
        <v>353</v>
      </c>
      <c r="C165" s="75" t="s">
        <v>230</v>
      </c>
      <c r="D165" s="204">
        <v>7.8821960522478731</v>
      </c>
      <c r="E165" s="206"/>
      <c r="F165" s="206"/>
      <c r="G165" s="206"/>
      <c r="H165" s="206"/>
    </row>
    <row r="166" spans="1:16">
      <c r="A166" s="3">
        <v>5</v>
      </c>
      <c r="B166" s="376" t="s">
        <v>374</v>
      </c>
      <c r="C166" s="75" t="s">
        <v>230</v>
      </c>
      <c r="D166" s="204">
        <v>40.064948080000001</v>
      </c>
      <c r="E166" s="206"/>
      <c r="F166" s="206"/>
      <c r="G166" s="206"/>
      <c r="H166" s="206"/>
    </row>
    <row r="167" spans="1:16">
      <c r="A167" s="3">
        <v>6</v>
      </c>
      <c r="B167" s="376" t="s">
        <v>256</v>
      </c>
      <c r="C167" s="75" t="s">
        <v>230</v>
      </c>
      <c r="D167" s="204">
        <v>3.8096813258613555</v>
      </c>
      <c r="E167" s="206"/>
      <c r="F167" s="206"/>
      <c r="G167" s="206"/>
      <c r="H167" s="206"/>
    </row>
    <row r="168" spans="1:16">
      <c r="A168" s="3">
        <v>7</v>
      </c>
      <c r="B168" s="376" t="s">
        <v>375</v>
      </c>
      <c r="C168" s="75" t="s">
        <v>230</v>
      </c>
      <c r="D168" s="204">
        <v>0.63234815318852788</v>
      </c>
      <c r="E168" s="206"/>
      <c r="F168" s="206"/>
      <c r="G168" s="206"/>
      <c r="H168" s="206"/>
    </row>
    <row r="169" spans="1:16">
      <c r="A169" s="3">
        <v>8</v>
      </c>
      <c r="B169" s="376" t="s">
        <v>376</v>
      </c>
      <c r="C169" s="75" t="s">
        <v>230</v>
      </c>
      <c r="D169" s="204">
        <v>0.47129999999999994</v>
      </c>
      <c r="E169" s="206"/>
      <c r="F169" s="206"/>
      <c r="G169" s="206"/>
      <c r="H169" s="206"/>
    </row>
    <row r="170" spans="1:16">
      <c r="A170" s="3">
        <v>9</v>
      </c>
      <c r="B170" s="376" t="s">
        <v>352</v>
      </c>
      <c r="C170" s="75" t="s">
        <v>230</v>
      </c>
      <c r="D170" s="204">
        <v>0.85310900000000001</v>
      </c>
      <c r="E170" s="206"/>
      <c r="F170" s="206"/>
      <c r="G170" s="206"/>
      <c r="H170" s="206"/>
    </row>
    <row r="171" spans="1:16">
      <c r="A171" s="3">
        <v>10</v>
      </c>
      <c r="B171" s="376" t="s">
        <v>334</v>
      </c>
      <c r="C171" s="75" t="s">
        <v>230</v>
      </c>
      <c r="D171" s="204">
        <v>0</v>
      </c>
      <c r="E171" s="206"/>
      <c r="F171" s="206"/>
      <c r="G171" s="206"/>
      <c r="H171" s="206"/>
    </row>
    <row r="172" spans="1:16">
      <c r="A172" s="3">
        <v>11</v>
      </c>
      <c r="B172" s="376" t="s">
        <v>334</v>
      </c>
      <c r="C172" s="75" t="s">
        <v>230</v>
      </c>
      <c r="D172" s="204">
        <v>0</v>
      </c>
      <c r="E172" s="206"/>
      <c r="F172" s="206"/>
      <c r="G172" s="206"/>
      <c r="H172" s="206"/>
    </row>
    <row r="173" spans="1:16">
      <c r="A173" s="3">
        <v>12</v>
      </c>
      <c r="B173" s="376" t="s">
        <v>334</v>
      </c>
      <c r="C173" s="75" t="s">
        <v>230</v>
      </c>
      <c r="D173" s="204">
        <v>0</v>
      </c>
      <c r="E173" s="206"/>
      <c r="F173" s="206"/>
      <c r="G173" s="206"/>
      <c r="H173" s="206"/>
    </row>
    <row r="174" spans="1:16">
      <c r="A174" s="3">
        <v>13</v>
      </c>
      <c r="B174" s="376" t="s">
        <v>334</v>
      </c>
      <c r="C174" s="75" t="s">
        <v>230</v>
      </c>
      <c r="D174" s="204">
        <v>0</v>
      </c>
      <c r="E174" s="206"/>
      <c r="F174" s="206"/>
      <c r="G174" s="206"/>
      <c r="H174" s="206"/>
    </row>
    <row r="175" spans="1:16">
      <c r="A175" s="3">
        <v>14</v>
      </c>
      <c r="B175" s="376" t="s">
        <v>334</v>
      </c>
      <c r="C175" s="75" t="s">
        <v>230</v>
      </c>
      <c r="D175" s="204">
        <v>0</v>
      </c>
      <c r="E175" s="206"/>
      <c r="F175" s="206"/>
      <c r="G175" s="206"/>
      <c r="H175" s="206"/>
      <c r="O175"/>
      <c r="P175"/>
    </row>
    <row r="176" spans="1:16">
      <c r="A176" s="3">
        <v>15</v>
      </c>
      <c r="B176" s="376" t="s">
        <v>334</v>
      </c>
      <c r="C176" s="75" t="s">
        <v>230</v>
      </c>
      <c r="D176" s="204">
        <v>0</v>
      </c>
      <c r="E176" s="206"/>
      <c r="F176" s="206"/>
      <c r="G176" s="206"/>
      <c r="H176" s="206"/>
      <c r="O176"/>
      <c r="P176"/>
    </row>
    <row r="177" spans="1:16">
      <c r="A177" s="3">
        <v>16</v>
      </c>
      <c r="B177" s="376" t="s">
        <v>334</v>
      </c>
      <c r="C177" s="75" t="s">
        <v>230</v>
      </c>
      <c r="D177" s="204">
        <v>0</v>
      </c>
      <c r="E177" s="206"/>
      <c r="F177" s="206"/>
      <c r="G177" s="206"/>
      <c r="H177" s="206"/>
      <c r="O177"/>
      <c r="P177"/>
    </row>
    <row r="178" spans="1:16">
      <c r="A178" s="3">
        <v>17</v>
      </c>
      <c r="B178" s="376" t="s">
        <v>334</v>
      </c>
      <c r="C178" s="75" t="s">
        <v>230</v>
      </c>
      <c r="D178" s="204">
        <v>0</v>
      </c>
      <c r="E178" s="206"/>
      <c r="F178" s="206"/>
      <c r="G178" s="206"/>
      <c r="H178" s="206"/>
      <c r="O178"/>
      <c r="P178"/>
    </row>
    <row r="179" spans="1:16">
      <c r="A179" s="3">
        <v>18</v>
      </c>
      <c r="B179" s="376" t="s">
        <v>334</v>
      </c>
      <c r="C179" s="75" t="s">
        <v>230</v>
      </c>
      <c r="D179" s="204">
        <v>0</v>
      </c>
      <c r="E179" s="206"/>
      <c r="F179" s="206"/>
      <c r="G179" s="206"/>
      <c r="H179" s="206"/>
      <c r="O179"/>
      <c r="P179"/>
    </row>
    <row r="180" spans="1:16">
      <c r="A180" s="3">
        <v>19</v>
      </c>
      <c r="B180" s="376" t="s">
        <v>334</v>
      </c>
      <c r="C180" s="75" t="s">
        <v>230</v>
      </c>
      <c r="D180" s="204">
        <v>0</v>
      </c>
      <c r="E180" s="206"/>
      <c r="F180" s="206"/>
      <c r="G180" s="206"/>
      <c r="H180" s="206"/>
      <c r="O180"/>
      <c r="P180"/>
    </row>
    <row r="181" spans="1:16">
      <c r="A181" s="3">
        <v>20</v>
      </c>
      <c r="B181" s="376" t="s">
        <v>334</v>
      </c>
      <c r="C181" s="75" t="s">
        <v>230</v>
      </c>
      <c r="D181" s="204">
        <v>0</v>
      </c>
      <c r="E181" s="206"/>
      <c r="F181" s="206"/>
      <c r="G181" s="206"/>
      <c r="H181" s="206"/>
      <c r="O181"/>
      <c r="P181"/>
    </row>
    <row r="182" spans="1:16">
      <c r="A182" s="3">
        <v>21</v>
      </c>
      <c r="B182" s="376" t="s">
        <v>334</v>
      </c>
      <c r="C182" s="75" t="s">
        <v>230</v>
      </c>
      <c r="D182" s="204">
        <v>0</v>
      </c>
      <c r="E182" s="206"/>
      <c r="F182" s="206"/>
      <c r="G182" s="206"/>
      <c r="H182" s="206"/>
      <c r="O182"/>
      <c r="P182"/>
    </row>
    <row r="183" spans="1:16">
      <c r="A183" s="3">
        <v>22</v>
      </c>
      <c r="B183" s="376" t="s">
        <v>334</v>
      </c>
      <c r="C183" s="75" t="s">
        <v>230</v>
      </c>
      <c r="D183" s="204">
        <v>0</v>
      </c>
      <c r="E183" s="206"/>
      <c r="F183" s="206"/>
      <c r="G183" s="206"/>
      <c r="H183" s="206"/>
      <c r="O183"/>
      <c r="P183"/>
    </row>
    <row r="184" spans="1:16">
      <c r="A184" s="3">
        <v>23</v>
      </c>
      <c r="B184" s="376" t="s">
        <v>334</v>
      </c>
      <c r="C184" s="75" t="s">
        <v>230</v>
      </c>
      <c r="D184" s="204">
        <v>0</v>
      </c>
      <c r="E184" s="206"/>
      <c r="F184" s="206"/>
      <c r="G184" s="206"/>
      <c r="H184" s="206"/>
      <c r="O184"/>
      <c r="P184"/>
    </row>
    <row r="185" spans="1:16">
      <c r="A185" s="3">
        <v>24</v>
      </c>
      <c r="B185" s="376" t="s">
        <v>334</v>
      </c>
      <c r="C185" s="75" t="s">
        <v>230</v>
      </c>
      <c r="D185" s="204">
        <v>0</v>
      </c>
      <c r="E185" s="206"/>
      <c r="F185" s="206"/>
      <c r="G185" s="206"/>
      <c r="H185" s="206"/>
      <c r="O185" s="351"/>
      <c r="P185"/>
    </row>
    <row r="186" spans="1:16">
      <c r="A186" s="3">
        <v>25</v>
      </c>
      <c r="B186" s="376" t="s">
        <v>334</v>
      </c>
      <c r="C186" s="75" t="s">
        <v>230</v>
      </c>
      <c r="D186" s="204">
        <v>0</v>
      </c>
      <c r="E186" s="206"/>
      <c r="F186" s="206"/>
      <c r="G186" s="206"/>
      <c r="H186" s="206"/>
      <c r="O186"/>
      <c r="P186"/>
    </row>
    <row r="187" spans="1:16">
      <c r="B187" s="5" t="s">
        <v>377</v>
      </c>
      <c r="C187" s="75" t="s">
        <v>230</v>
      </c>
      <c r="D187" s="637">
        <f>SUM(D162:D186)</f>
        <v>121.74368211224518</v>
      </c>
      <c r="E187" s="637">
        <v>0</v>
      </c>
      <c r="F187" s="637">
        <v>0</v>
      </c>
      <c r="G187" s="637">
        <v>0</v>
      </c>
      <c r="H187" s="637">
        <v>0</v>
      </c>
      <c r="O187"/>
      <c r="P187"/>
    </row>
    <row r="188" spans="1:16">
      <c r="B188" s="2"/>
      <c r="D188" s="69"/>
      <c r="E188" s="69"/>
      <c r="F188" s="69"/>
      <c r="G188" s="69"/>
      <c r="H188" s="69"/>
      <c r="I188" s="69"/>
      <c r="J188" s="69"/>
      <c r="O188"/>
      <c r="P188"/>
    </row>
    <row r="189" spans="1:16">
      <c r="B189" s="5" t="s">
        <v>378</v>
      </c>
      <c r="C189" s="75" t="s">
        <v>230</v>
      </c>
      <c r="D189" s="637">
        <f>D155-D187</f>
        <v>254.948296405756</v>
      </c>
      <c r="E189" s="637">
        <f>E155-E185</f>
        <v>0</v>
      </c>
      <c r="F189" s="637">
        <f>F155-F185</f>
        <v>0</v>
      </c>
      <c r="G189" s="637">
        <f>G155-G185</f>
        <v>0</v>
      </c>
      <c r="H189" s="637">
        <f>H155-H185</f>
        <v>0</v>
      </c>
    </row>
    <row r="190" spans="1:16">
      <c r="B190" s="5" t="s">
        <v>379</v>
      </c>
      <c r="C190" s="75" t="s">
        <v>230</v>
      </c>
      <c r="D190" s="638">
        <v>254.94829640575597</v>
      </c>
      <c r="E190" s="638">
        <v>288.935551660523</v>
      </c>
      <c r="F190" s="638">
        <v>298.31471670595147</v>
      </c>
      <c r="G190" s="638">
        <v>267.80771682200196</v>
      </c>
      <c r="H190" s="667">
        <v>264.88060792253503</v>
      </c>
      <c r="I190" s="2" t="s">
        <v>380</v>
      </c>
    </row>
    <row r="191" spans="1:16">
      <c r="B191" s="2"/>
      <c r="C191" s="69" t="s">
        <v>369</v>
      </c>
      <c r="D191" s="197" t="str">
        <f>IF(D$103="Actuals",IF(ABS(D189-('R3 - Totex - Reconciliation'!D13+'R3 - Totex - Reconciliation'!D42+D71)*INDEX(real_to_nominal_CF,MATCH(D6,Data!$E$25:$L$25,0)))&lt;materiality_threshold,"OK","Error"),"N/A")</f>
        <v>OK</v>
      </c>
      <c r="E191" s="197" t="str">
        <f>IF(E$103="Actuals",IF(ABS(E187-('R3 - Totex - Reconciliation'!E13+'R3 - Totex - Reconciliation'!E42+E71)*INDEX(real_to_nominal_CF,MATCH(E6,Data!$E$25:$L$25,0)))&lt;materiality_threshold,"OK","Error"),"N/A")</f>
        <v>N/A</v>
      </c>
      <c r="F191" s="197" t="str">
        <f>IF(F$103="Actuals",IF(ABS(F187-('R3 - Totex - Reconciliation'!F13+'R3 - Totex - Reconciliation'!F42+F71)*INDEX(real_to_nominal_CF,MATCH(F6,Data!$E$25:$L$25,0)))&lt;materiality_threshold,"OK","Error"),"N/A")</f>
        <v>N/A</v>
      </c>
      <c r="G191" s="197" t="str">
        <f>IF(G$103="Actuals",IF(ABS(G187-('R3 - Totex - Reconciliation'!G13+'R3 - Totex - Reconciliation'!G42+G71)*INDEX(real_to_nominal_CF,MATCH(G6,Data!$E$25:$L$25,0)))&lt;materiality_threshold,"OK","Error"),"N/A")</f>
        <v>N/A</v>
      </c>
      <c r="H191" s="197" t="str">
        <f>IF(H$103="Actuals",IF(ABS(H187-('R3 - Totex - Reconciliation'!H13+'R3 - Totex - Reconciliation'!H42+H71)*INDEX(real_to_nominal_CF,MATCH(H6,Data!$E$25:$L$25,0)))&lt;materiality_threshold,"OK","Error"),"N/A")</f>
        <v>N/A</v>
      </c>
    </row>
    <row r="192" spans="1:16">
      <c r="B192" s="2"/>
      <c r="C192" s="2"/>
    </row>
    <row r="193" spans="2:16">
      <c r="B193" s="351" t="s">
        <v>381</v>
      </c>
    </row>
    <row r="195" spans="2:16">
      <c r="B195" s="6" t="s">
        <v>297</v>
      </c>
      <c r="C195"/>
      <c r="D195"/>
      <c r="E195"/>
      <c r="F195"/>
    </row>
    <row r="196" spans="2:16">
      <c r="B196" s="849" t="s">
        <v>382</v>
      </c>
      <c r="C196" s="850"/>
      <c r="D196" s="850"/>
      <c r="E196" s="850"/>
      <c r="F196" s="851"/>
    </row>
    <row r="197" spans="2:16">
      <c r="B197" s="362" t="s">
        <v>383</v>
      </c>
      <c r="C197" s="363"/>
      <c r="D197" s="364"/>
      <c r="E197" s="337"/>
      <c r="F197" s="365"/>
    </row>
    <row r="198" spans="2:16">
      <c r="B198" s="362"/>
      <c r="C198" s="363"/>
      <c r="D198" s="364"/>
      <c r="E198" s="337"/>
      <c r="F198" s="365"/>
    </row>
    <row r="199" spans="2:16">
      <c r="B199" s="362"/>
      <c r="C199" s="363"/>
      <c r="D199" s="364"/>
      <c r="E199" s="337"/>
      <c r="F199" s="365"/>
    </row>
    <row r="200" spans="2:16">
      <c r="B200" s="362"/>
      <c r="C200" s="363"/>
      <c r="D200" s="364"/>
      <c r="E200" s="337"/>
      <c r="F200" s="365"/>
      <c r="O200"/>
      <c r="P200"/>
    </row>
    <row r="201" spans="2:16">
      <c r="B201" s="366"/>
      <c r="C201" s="582"/>
      <c r="D201" s="583"/>
      <c r="E201" s="584"/>
      <c r="F201" s="367"/>
    </row>
    <row r="218" s="2" customFormat="1"/>
    <row r="219" s="2" customFormat="1"/>
    <row r="220" s="2" customFormat="1"/>
    <row r="221" s="2" customFormat="1"/>
    <row r="222" s="2" customFormat="1"/>
    <row r="223" s="2" customFormat="1"/>
    <row r="224" s="2" customFormat="1"/>
    <row r="225" spans="2:3">
      <c r="B225" s="2"/>
      <c r="C225" s="2"/>
    </row>
    <row r="229" spans="2:3" ht="12.75" customHeight="1"/>
    <row r="236" spans="2:3" ht="29.25" customHeight="1"/>
  </sheetData>
  <mergeCells count="2">
    <mergeCell ref="K15:M15"/>
    <mergeCell ref="B196:F196"/>
  </mergeCells>
  <phoneticPr fontId="251" type="noConversion"/>
  <conditionalFormatting sqref="I5 D5:G6">
    <cfRule type="expression" dxfId="83" priority="71">
      <formula>AND(D$5="Actuals",E$5="Forecast")</formula>
    </cfRule>
  </conditionalFormatting>
  <conditionalFormatting sqref="B92:C92 C40 C69 B68:C68 B41:C49 B70:C79 N68:Q68">
    <cfRule type="expression" dxfId="82" priority="67">
      <formula>$B$40="n/a"</formula>
    </cfRule>
  </conditionalFormatting>
  <conditionalFormatting sqref="D103:G104">
    <cfRule type="expression" dxfId="81" priority="63">
      <formula>AND(D$5="Actuals",E$5="N/A")</formula>
    </cfRule>
  </conditionalFormatting>
  <conditionalFormatting sqref="H5:H6">
    <cfRule type="expression" dxfId="80" priority="272">
      <formula>AND(H$5="Actuals",#REF!="Forecast")</formula>
    </cfRule>
  </conditionalFormatting>
  <conditionalFormatting sqref="H103:H104">
    <cfRule type="expression" dxfId="79" priority="289">
      <formula>AND(H$5="Actuals",#REF!="N/A")</formula>
    </cfRule>
  </conditionalFormatting>
  <conditionalFormatting sqref="D7:H7">
    <cfRule type="expression" dxfId="78" priority="56">
      <formula>AND(D$5="Actuals",E$5="Forecast")</formula>
    </cfRule>
  </conditionalFormatting>
  <conditionalFormatting sqref="D105:H105">
    <cfRule type="expression" dxfId="77" priority="55">
      <formula>AND(D$5="Actuals",E$5="Forecast")</formula>
    </cfRule>
  </conditionalFormatting>
  <conditionalFormatting sqref="D160:H162 D108:H116 D118:H121 D127:H142 D145:H151 E163:H184 D163:D186">
    <cfRule type="expression" dxfId="76" priority="53">
      <formula>D$103="N/A"</formula>
    </cfRule>
  </conditionalFormatting>
  <conditionalFormatting sqref="C23:C24">
    <cfRule type="expression" dxfId="75" priority="52">
      <formula>$B$40="n/a"</formula>
    </cfRule>
  </conditionalFormatting>
  <conditionalFormatting sqref="C52:C53">
    <cfRule type="expression" dxfId="74" priority="51">
      <formula>$B$40="n/a"</formula>
    </cfRule>
  </conditionalFormatting>
  <conditionalFormatting sqref="C25">
    <cfRule type="expression" dxfId="73" priority="50">
      <formula>$B$40="n/a"</formula>
    </cfRule>
  </conditionalFormatting>
  <conditionalFormatting sqref="C54">
    <cfRule type="expression" dxfId="72" priority="49">
      <formula>$B$40="n/a"</formula>
    </cfRule>
  </conditionalFormatting>
  <conditionalFormatting sqref="C81:C82">
    <cfRule type="expression" dxfId="71" priority="48">
      <formula>$B$40="n/a"</formula>
    </cfRule>
  </conditionalFormatting>
  <conditionalFormatting sqref="C83">
    <cfRule type="expression" dxfId="70" priority="47">
      <formula>$B$40="n/a"</formula>
    </cfRule>
  </conditionalFormatting>
  <conditionalFormatting sqref="B35">
    <cfRule type="expression" dxfId="69" priority="46">
      <formula>$B$46="n/a"</formula>
    </cfRule>
  </conditionalFormatting>
  <conditionalFormatting sqref="B64">
    <cfRule type="expression" dxfId="68" priority="45">
      <formula>$B$46="n/a"</formula>
    </cfRule>
  </conditionalFormatting>
  <conditionalFormatting sqref="B88">
    <cfRule type="expression" dxfId="67" priority="44">
      <formula>$B$46="n/a"</formula>
    </cfRule>
  </conditionalFormatting>
  <conditionalFormatting sqref="E117:H117">
    <cfRule type="expression" dxfId="66" priority="43">
      <formula>E$103="N/A"</formula>
    </cfRule>
  </conditionalFormatting>
  <conditionalFormatting sqref="D122:H123">
    <cfRule type="expression" dxfId="65" priority="25">
      <formula>D$103="N/A"</formula>
    </cfRule>
  </conditionalFormatting>
  <conditionalFormatting sqref="D153:H153">
    <cfRule type="expression" dxfId="64" priority="24">
      <formula>D$103="N/A"</formula>
    </cfRule>
  </conditionalFormatting>
  <conditionalFormatting sqref="D155:H155">
    <cfRule type="expression" dxfId="63" priority="23">
      <formula>D$103="N/A"</formula>
    </cfRule>
  </conditionalFormatting>
  <conditionalFormatting sqref="E185:H186">
    <cfRule type="expression" dxfId="62" priority="22">
      <formula>E$103="N/A"</formula>
    </cfRule>
  </conditionalFormatting>
  <conditionalFormatting sqref="D187:H187">
    <cfRule type="expression" dxfId="61" priority="21">
      <formula>D$103="N/A"</formula>
    </cfRule>
  </conditionalFormatting>
  <conditionalFormatting sqref="D157:H157 E156:H156">
    <cfRule type="expression" dxfId="60" priority="16">
      <formula>D$103="N/A"</formula>
    </cfRule>
  </conditionalFormatting>
  <conditionalFormatting sqref="D143:H143">
    <cfRule type="expression" dxfId="59" priority="11">
      <formula>D$103="N/A"</formula>
    </cfRule>
  </conditionalFormatting>
  <conditionalFormatting sqref="D152:H152">
    <cfRule type="expression" dxfId="58" priority="10">
      <formula>D$103="N/A"</formula>
    </cfRule>
  </conditionalFormatting>
  <conditionalFormatting sqref="C32:C33">
    <cfRule type="expression" dxfId="57" priority="8">
      <formula>$B$39="n/a"</formula>
    </cfRule>
  </conditionalFormatting>
  <conditionalFormatting sqref="C61:C62">
    <cfRule type="expression" dxfId="56" priority="7">
      <formula>$B$39="n/a"</formula>
    </cfRule>
  </conditionalFormatting>
  <conditionalFormatting sqref="C85:C86">
    <cfRule type="expression" dxfId="55" priority="6">
      <formula>$B$39="n/a"</formula>
    </cfRule>
  </conditionalFormatting>
  <conditionalFormatting sqref="C28:C29">
    <cfRule type="expression" dxfId="54" priority="4">
      <formula>$B$40="n/a"</formula>
    </cfRule>
  </conditionalFormatting>
  <conditionalFormatting sqref="C30">
    <cfRule type="expression" dxfId="53" priority="3">
      <formula>$B$40="n/a"</formula>
    </cfRule>
  </conditionalFormatting>
  <conditionalFormatting sqref="C57:C58">
    <cfRule type="expression" dxfId="52" priority="2">
      <formula>$B$40="n/a"</formula>
    </cfRule>
  </conditionalFormatting>
  <conditionalFormatting sqref="C59">
    <cfRule type="expression" dxfId="51" priority="1">
      <formula>$B$40="n/a"</formula>
    </cfRule>
  </conditionalFormatting>
  <pageMargins left="0.70866141732283472" right="0.70866141732283472" top="0.74803149606299213" bottom="0.74803149606299213" header="0.31496062992125984" footer="0.31496062992125984"/>
  <pageSetup paperSize="8" scale="5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FFCC"/>
    <pageSetUpPr fitToPage="1"/>
  </sheetPr>
  <dimension ref="A1:M78"/>
  <sheetViews>
    <sheetView showGridLines="0" zoomScaleNormal="100" workbookViewId="0">
      <pane ySplit="7" topLeftCell="A55" activePane="bottomLeft" state="frozen"/>
      <selection pane="bottomLeft" activeCell="D64" sqref="D64"/>
    </sheetView>
  </sheetViews>
  <sheetFormatPr defaultRowHeight="12.4"/>
  <cols>
    <col min="1" max="1" width="8.3515625" customWidth="1"/>
    <col min="2" max="2" width="71.3515625" bestFit="1" customWidth="1"/>
    <col min="3" max="3" width="13.3515625" style="69" customWidth="1"/>
    <col min="4" max="8" width="11.1171875" customWidth="1"/>
    <col min="9" max="9" width="12.87890625" customWidth="1"/>
    <col min="10" max="10" width="12.76171875" customWidth="1"/>
    <col min="11" max="11" width="5.76171875" bestFit="1" customWidth="1"/>
  </cols>
  <sheetData>
    <row r="1" spans="1:11" ht="20.65">
      <c r="A1" s="787" t="s">
        <v>384</v>
      </c>
      <c r="B1" s="405"/>
      <c r="C1" s="406"/>
      <c r="D1" s="407"/>
      <c r="E1" s="407"/>
      <c r="F1" s="407"/>
      <c r="G1" s="407"/>
      <c r="H1" s="407"/>
      <c r="I1" s="399"/>
      <c r="J1" s="399"/>
      <c r="K1" s="786"/>
    </row>
    <row r="2" spans="1:11" ht="20.65">
      <c r="A2" s="295" t="str">
        <f>Licensee</f>
        <v>Cadent-NW</v>
      </c>
      <c r="B2" s="299"/>
      <c r="C2" s="76"/>
      <c r="D2" s="20"/>
      <c r="E2" s="20"/>
      <c r="F2" s="20"/>
      <c r="G2" s="20"/>
      <c r="H2" s="20"/>
      <c r="I2" s="15"/>
      <c r="J2" s="15"/>
      <c r="K2" s="65"/>
    </row>
    <row r="3" spans="1:11" ht="20.65">
      <c r="A3" s="290">
        <f>Reporting_Year</f>
        <v>2022</v>
      </c>
      <c r="B3" s="16" t="str">
        <f>IF(Licensee=Data!$B$81,"not required to be completed","")</f>
        <v/>
      </c>
      <c r="C3" s="586"/>
      <c r="D3" s="587"/>
      <c r="E3" s="587"/>
      <c r="F3" s="587"/>
      <c r="G3" s="587"/>
      <c r="H3" s="587"/>
      <c r="I3" s="578"/>
      <c r="J3" s="578"/>
      <c r="K3" s="119"/>
    </row>
    <row r="4" spans="1:11" s="2" customFormat="1" ht="12.75" customHeight="1">
      <c r="B4" s="3"/>
      <c r="C4" s="69"/>
    </row>
    <row r="5" spans="1:11" s="2" customFormat="1" ht="21.75" customHeight="1">
      <c r="B5" s="3"/>
      <c r="C5" s="69"/>
      <c r="D5" s="153" t="str">
        <f t="shared" ref="D5:I5" si="0">IF(D6&lt;=Reporting_Year,"Actuals","Forecast")</f>
        <v>Actuals</v>
      </c>
      <c r="E5" s="153" t="str">
        <f t="shared" si="0"/>
        <v>Forecast</v>
      </c>
      <c r="F5" s="153" t="str">
        <f t="shared" si="0"/>
        <v>Forecast</v>
      </c>
      <c r="G5" s="153" t="str">
        <f t="shared" si="0"/>
        <v>Forecast</v>
      </c>
      <c r="H5" s="153" t="str">
        <f t="shared" si="0"/>
        <v>Forecast</v>
      </c>
      <c r="I5" s="153" t="str">
        <f t="shared" si="0"/>
        <v>Forecast</v>
      </c>
    </row>
    <row r="6" spans="1:11" s="2" customFormat="1" ht="29.25" customHeight="1">
      <c r="C6" s="69"/>
      <c r="D6" s="62">
        <f>'RFPR cover'!$C$6</f>
        <v>2022</v>
      </c>
      <c r="E6" s="63">
        <f>D6+1</f>
        <v>2023</v>
      </c>
      <c r="F6" s="63">
        <f t="shared" ref="F6:H6" si="1">E6+1</f>
        <v>2024</v>
      </c>
      <c r="G6" s="63">
        <f t="shared" si="1"/>
        <v>2025</v>
      </c>
      <c r="H6" s="63">
        <f t="shared" si="1"/>
        <v>2026</v>
      </c>
      <c r="I6" s="49" t="str">
        <f>"Cumulative to "&amp;'RFPR cover'!$C$9</f>
        <v>Cumulative to 2022</v>
      </c>
      <c r="J6" s="64" t="s">
        <v>191</v>
      </c>
    </row>
    <row r="7" spans="1:11" s="2" customFormat="1">
      <c r="C7" s="69"/>
      <c r="D7" s="42" t="str">
        <f>RIIO_2_start_date-1&amp;"/"&amp;RIGHT(RIIO_2_start_date,2)</f>
        <v>2021/22</v>
      </c>
      <c r="E7" s="42" t="str">
        <f>RIIO_2_start_date&amp;"/"&amp;RIGHT(RIIO_2_start_date+1,2)</f>
        <v>2022/23</v>
      </c>
      <c r="F7" s="42" t="str">
        <f>RIIO_2_start_date+1&amp;"/"&amp;RIGHT(RIIO_2_start_date+2,2)</f>
        <v>2023/24</v>
      </c>
      <c r="G7" s="42" t="str">
        <f>RIIO_2_start_date+2&amp;"/"&amp;RIGHT(RIIO_2_start_date+3,2)</f>
        <v>2024/25</v>
      </c>
      <c r="H7" s="42" t="str">
        <f>RIIO_2_start_date+3&amp;"/"&amp;RIGHT(RIIO_2_start_date+4,2)</f>
        <v>2025/26</v>
      </c>
    </row>
    <row r="8" spans="1:11" s="2" customFormat="1" ht="17.649999999999999">
      <c r="B8" s="449" t="s">
        <v>385</v>
      </c>
      <c r="C8" s="73"/>
      <c r="D8" s="40"/>
      <c r="E8" s="40"/>
      <c r="F8" s="40"/>
      <c r="G8" s="40"/>
      <c r="H8" s="40"/>
      <c r="I8" s="40"/>
      <c r="J8" s="40"/>
      <c r="K8" s="40"/>
    </row>
    <row r="9" spans="1:11" s="2" customFormat="1"/>
    <row r="10" spans="1:11" s="2" customFormat="1"/>
    <row r="11" spans="1:11" s="2" customFormat="1"/>
    <row r="12" spans="1:11" s="2" customFormat="1">
      <c r="A12" s="78" t="s">
        <v>195</v>
      </c>
      <c r="B12" s="5" t="s">
        <v>386</v>
      </c>
      <c r="C12" s="38" t="str">
        <f>Data!$C$9</f>
        <v>£m 18/19</v>
      </c>
      <c r="D12" s="802">
        <v>-7.2862331602607357E-3</v>
      </c>
      <c r="E12" s="802">
        <v>-7.2862331602607357E-3</v>
      </c>
      <c r="F12" s="802">
        <v>-7.2862331602607357E-3</v>
      </c>
      <c r="G12" s="802">
        <v>-7.2862331602607357E-3</v>
      </c>
      <c r="H12" s="802">
        <v>-7.2862331602607357E-3</v>
      </c>
    </row>
    <row r="13" spans="1:11" s="2" customFormat="1" ht="19.5" customHeight="1">
      <c r="A13" s="78"/>
      <c r="B13" s="333" t="s">
        <v>387</v>
      </c>
      <c r="D13" s="106"/>
      <c r="E13" s="106"/>
      <c r="F13" s="106"/>
      <c r="G13" s="106"/>
      <c r="H13" s="106"/>
    </row>
    <row r="14" spans="1:11" s="2" customFormat="1">
      <c r="A14" s="78" t="s">
        <v>196</v>
      </c>
      <c r="B14" s="511" t="str">
        <f>Data!B124</f>
        <v>Customer Satisfaction Survey ODI</v>
      </c>
      <c r="C14" s="38" t="str">
        <f>Data!$C$9</f>
        <v>£m 18/19</v>
      </c>
      <c r="D14" s="803">
        <v>1.4915815001002395</v>
      </c>
      <c r="E14" s="803">
        <v>1.5150788725490156</v>
      </c>
      <c r="F14" s="803">
        <v>1.7836029411764698</v>
      </c>
      <c r="G14" s="803">
        <v>1.905</v>
      </c>
      <c r="H14" s="803">
        <v>1.905</v>
      </c>
    </row>
    <row r="15" spans="1:11" s="2" customFormat="1">
      <c r="A15" s="78" t="s">
        <v>197</v>
      </c>
      <c r="B15" s="511" t="str">
        <f>Data!B125</f>
        <v>Complaints metric ODI</v>
      </c>
      <c r="C15" s="38" t="str">
        <f>Data!$C$9</f>
        <v>£m 18/19</v>
      </c>
      <c r="D15" s="803">
        <v>0</v>
      </c>
      <c r="E15" s="803">
        <v>0</v>
      </c>
      <c r="F15" s="803">
        <v>0</v>
      </c>
      <c r="G15" s="803">
        <v>0</v>
      </c>
      <c r="H15" s="803">
        <v>0</v>
      </c>
    </row>
    <row r="16" spans="1:11" s="2" customFormat="1">
      <c r="A16" s="78" t="s">
        <v>198</v>
      </c>
      <c r="B16" s="511" t="str">
        <f>Data!B126</f>
        <v>Unplanned Interruption Mean Duration ODI [NGN, SGN and WWU]</v>
      </c>
      <c r="C16" s="38" t="str">
        <f>Data!$C$9</f>
        <v>£m 18/19</v>
      </c>
      <c r="D16" s="803">
        <v>0</v>
      </c>
      <c r="E16" s="803">
        <v>0</v>
      </c>
      <c r="F16" s="803">
        <v>0</v>
      </c>
      <c r="G16" s="803">
        <v>0</v>
      </c>
      <c r="H16" s="803">
        <v>0</v>
      </c>
    </row>
    <row r="17" spans="1:11" s="2" customFormat="1">
      <c r="A17" s="78" t="s">
        <v>199</v>
      </c>
      <c r="B17" s="511" t="str">
        <f>Data!B127</f>
        <v>Unplanned Interruption Mean Duration ODI [Cadent only]</v>
      </c>
      <c r="C17" s="38" t="str">
        <f>Data!$C$9</f>
        <v>£m 18/19</v>
      </c>
      <c r="D17" s="803">
        <v>0</v>
      </c>
      <c r="E17" s="803">
        <v>0</v>
      </c>
      <c r="F17" s="803">
        <v>0</v>
      </c>
      <c r="G17" s="803">
        <v>0</v>
      </c>
      <c r="H17" s="803">
        <v>0</v>
      </c>
    </row>
    <row r="18" spans="1:11" s="2" customFormat="1">
      <c r="A18" s="78" t="s">
        <v>200</v>
      </c>
      <c r="B18" s="511" t="str">
        <f>Data!B128</f>
        <v>Shrinkage Management ODI</v>
      </c>
      <c r="C18" s="38" t="str">
        <f>Data!$C$9</f>
        <v>£m 18/19</v>
      </c>
      <c r="D18" s="803">
        <v>0.47625000000000001</v>
      </c>
      <c r="E18" s="803">
        <v>0.47625000000000001</v>
      </c>
      <c r="F18" s="803">
        <v>0.47625000000000001</v>
      </c>
      <c r="G18" s="803">
        <v>0.46633505395836183</v>
      </c>
      <c r="H18" s="803">
        <v>0.43181132789161736</v>
      </c>
    </row>
    <row r="19" spans="1:11" s="2" customFormat="1">
      <c r="A19" s="78" t="s">
        <v>201</v>
      </c>
      <c r="B19" s="511" t="str">
        <f>Data!B129</f>
        <v>Collaborative streetworks ODI [Cadent Lon &amp; EoE, SGN So only]</v>
      </c>
      <c r="C19" s="38" t="str">
        <f>Data!$C$9</f>
        <v>£m 18/19</v>
      </c>
      <c r="D19" s="803">
        <v>0</v>
      </c>
      <c r="E19" s="803">
        <v>0</v>
      </c>
      <c r="F19" s="803">
        <v>0</v>
      </c>
      <c r="G19" s="803">
        <v>0</v>
      </c>
      <c r="H19" s="803">
        <v>0</v>
      </c>
    </row>
    <row r="20" spans="1:11" s="2" customFormat="1">
      <c r="B20" s="5" t="s">
        <v>388</v>
      </c>
      <c r="C20" s="77" t="str">
        <f>Data!$C$9</f>
        <v>£m 18/19</v>
      </c>
      <c r="D20" s="208">
        <f>SUM(D14:D19)</f>
        <v>1.9678315001002396</v>
      </c>
      <c r="E20" s="208">
        <f>SUM(E14:E19)</f>
        <v>1.9913288725490157</v>
      </c>
      <c r="F20" s="208">
        <f>SUM(F14:F19)</f>
        <v>2.2598529411764696</v>
      </c>
      <c r="G20" s="208">
        <f>SUM(G14:G19)</f>
        <v>2.371335053958362</v>
      </c>
      <c r="H20" s="208">
        <f>SUM(H14:H19)</f>
        <v>2.3368113278916174</v>
      </c>
    </row>
    <row r="21" spans="1:11" s="2" customFormat="1"/>
    <row r="22" spans="1:11" s="192" customFormat="1" ht="14.25" customHeight="1">
      <c r="A22" s="191"/>
    </row>
    <row r="23" spans="1:11" s="2" customFormat="1">
      <c r="A23" s="417"/>
      <c r="B23" s="418" t="s">
        <v>389</v>
      </c>
      <c r="C23" s="419"/>
      <c r="D23" s="419"/>
      <c r="E23" s="419"/>
      <c r="F23" s="419"/>
      <c r="G23" s="419"/>
      <c r="H23" s="419"/>
      <c r="I23" s="419"/>
      <c r="J23" s="419"/>
    </row>
    <row r="24" spans="1:11" s="2" customFormat="1">
      <c r="A24" s="420" t="s">
        <v>195</v>
      </c>
      <c r="B24" s="852"/>
      <c r="C24" s="852"/>
      <c r="D24" s="852"/>
      <c r="E24" s="852"/>
      <c r="F24" s="852"/>
      <c r="G24" s="852"/>
      <c r="H24" s="852"/>
      <c r="I24" s="852"/>
      <c r="J24" s="852"/>
    </row>
    <row r="25" spans="1:11" s="2" customFormat="1">
      <c r="A25" s="420" t="s">
        <v>196</v>
      </c>
      <c r="B25" s="852"/>
      <c r="C25" s="852"/>
      <c r="D25" s="852"/>
      <c r="E25" s="852"/>
      <c r="F25" s="852"/>
      <c r="G25" s="852"/>
      <c r="H25" s="852"/>
      <c r="I25" s="852"/>
      <c r="J25" s="852"/>
    </row>
    <row r="26" spans="1:11" s="2" customFormat="1">
      <c r="A26" s="420" t="s">
        <v>197</v>
      </c>
      <c r="B26" s="852"/>
      <c r="C26" s="852"/>
      <c r="D26" s="852"/>
      <c r="E26" s="852"/>
      <c r="F26" s="852"/>
      <c r="G26" s="852"/>
      <c r="H26" s="852"/>
      <c r="I26" s="852"/>
      <c r="J26" s="852"/>
    </row>
    <row r="27" spans="1:11" s="2" customFormat="1">
      <c r="A27" s="420" t="s">
        <v>198</v>
      </c>
      <c r="B27" s="852"/>
      <c r="C27" s="852"/>
      <c r="D27" s="852"/>
      <c r="E27" s="852"/>
      <c r="F27" s="852"/>
      <c r="G27" s="852"/>
      <c r="H27" s="852"/>
      <c r="I27" s="852"/>
      <c r="J27" s="852"/>
    </row>
    <row r="28" spans="1:11" s="2" customFormat="1">
      <c r="A28" s="420" t="s">
        <v>199</v>
      </c>
      <c r="B28" s="852"/>
      <c r="C28" s="852"/>
      <c r="D28" s="852"/>
      <c r="E28" s="852"/>
      <c r="F28" s="852"/>
      <c r="G28" s="852"/>
      <c r="H28" s="852"/>
      <c r="I28" s="852"/>
      <c r="J28" s="852"/>
    </row>
    <row r="29" spans="1:11" s="2" customFormat="1">
      <c r="A29" s="420" t="s">
        <v>200</v>
      </c>
      <c r="B29" s="852"/>
      <c r="C29" s="852"/>
      <c r="D29" s="852"/>
      <c r="E29" s="852"/>
      <c r="F29" s="852"/>
      <c r="G29" s="852"/>
      <c r="H29" s="852"/>
      <c r="I29" s="852"/>
      <c r="J29" s="852"/>
    </row>
    <row r="30" spans="1:11" s="2" customFormat="1">
      <c r="A30" s="420" t="s">
        <v>201</v>
      </c>
      <c r="B30" s="852"/>
      <c r="C30" s="852"/>
      <c r="D30" s="852"/>
      <c r="E30" s="852"/>
      <c r="F30" s="852"/>
      <c r="G30" s="852"/>
      <c r="H30" s="852"/>
      <c r="I30" s="852"/>
      <c r="J30" s="852"/>
    </row>
    <row r="31" spans="1:11" s="2" customFormat="1">
      <c r="A31" s="78"/>
      <c r="C31" s="38"/>
      <c r="D31" s="38"/>
      <c r="E31" s="38"/>
      <c r="F31" s="38"/>
      <c r="G31" s="38"/>
      <c r="H31" s="38"/>
      <c r="I31" s="38"/>
      <c r="J31" s="38"/>
    </row>
    <row r="32" spans="1:11" s="2" customFormat="1" ht="20.65">
      <c r="B32" s="449" t="s">
        <v>390</v>
      </c>
      <c r="C32" s="73"/>
      <c r="D32" s="40"/>
      <c r="E32" s="40"/>
      <c r="F32" s="40"/>
      <c r="G32" s="40"/>
      <c r="H32" s="40"/>
      <c r="I32" s="40"/>
      <c r="J32" s="40"/>
      <c r="K32" s="40"/>
    </row>
    <row r="33" spans="1:11" s="2" customFormat="1">
      <c r="A33" s="5"/>
      <c r="C33" s="69"/>
    </row>
    <row r="34" spans="1:11">
      <c r="B34" s="468" t="s">
        <v>391</v>
      </c>
    </row>
    <row r="35" spans="1:11">
      <c r="B35" s="5"/>
    </row>
    <row r="36" spans="1:11" s="2" customFormat="1">
      <c r="A36" s="1" t="s">
        <v>202</v>
      </c>
      <c r="B36" s="5" t="s">
        <v>115</v>
      </c>
      <c r="C36" s="70"/>
      <c r="D36" s="29"/>
      <c r="E36" s="29"/>
      <c r="F36" s="29"/>
      <c r="G36" s="29"/>
      <c r="H36" s="29"/>
    </row>
    <row r="37" spans="1:11" s="2" customFormat="1">
      <c r="B37" s="66" t="s">
        <v>392</v>
      </c>
      <c r="C37" s="38" t="str">
        <f>Data!$C$9</f>
        <v>£m 18/19</v>
      </c>
      <c r="D37" s="308">
        <v>0.43446456077808543</v>
      </c>
      <c r="E37" s="308">
        <v>1.8833250534046864</v>
      </c>
      <c r="F37" s="308">
        <v>2.185689526002208</v>
      </c>
      <c r="G37" s="308">
        <v>2.185689526002208</v>
      </c>
      <c r="H37" s="308">
        <v>2.185689526002208</v>
      </c>
      <c r="I37" s="2" t="s">
        <v>393</v>
      </c>
    </row>
    <row r="38" spans="1:11" s="2" customFormat="1">
      <c r="B38" s="66" t="s">
        <v>394</v>
      </c>
      <c r="C38" s="38" t="str">
        <f>Data!$C$9</f>
        <v>£m 18/19</v>
      </c>
      <c r="D38" s="659">
        <v>0</v>
      </c>
      <c r="E38" s="659">
        <v>0</v>
      </c>
      <c r="F38" s="659">
        <v>0</v>
      </c>
      <c r="G38" s="659">
        <v>0</v>
      </c>
      <c r="H38" s="659">
        <v>0</v>
      </c>
    </row>
    <row r="39" spans="1:11" s="2" customFormat="1">
      <c r="B39" s="66" t="s">
        <v>395</v>
      </c>
      <c r="C39" s="38" t="str">
        <f>Data!$C$9</f>
        <v>£m 18/19</v>
      </c>
      <c r="D39" s="204">
        <v>4.344645607780856E-2</v>
      </c>
      <c r="E39" s="204">
        <v>0.18833250534046853</v>
      </c>
      <c r="F39" s="204">
        <v>0.2185689526002208</v>
      </c>
      <c r="G39" s="204">
        <v>0.2185689526002208</v>
      </c>
      <c r="H39" s="204">
        <v>0.2185689526002208</v>
      </c>
    </row>
    <row r="40" spans="1:11" s="5" customFormat="1">
      <c r="B40" s="2" t="s">
        <v>396</v>
      </c>
      <c r="C40" s="38" t="str">
        <f>Data!$C$9</f>
        <v>£m 18/19</v>
      </c>
      <c r="D40" s="208">
        <f>D37-D38-D39</f>
        <v>0.39101810470027687</v>
      </c>
      <c r="E40" s="209">
        <f t="shared" ref="E40:H40" si="2">E37-E38-E39</f>
        <v>1.6949925480642178</v>
      </c>
      <c r="F40" s="209">
        <f t="shared" si="2"/>
        <v>1.9671205734019872</v>
      </c>
      <c r="G40" s="209">
        <f t="shared" si="2"/>
        <v>1.9671205734019872</v>
      </c>
      <c r="H40" s="209">
        <f t="shared" si="2"/>
        <v>1.9671205734019872</v>
      </c>
      <c r="I40" s="2"/>
      <c r="J40" s="2"/>
      <c r="K40" s="2"/>
    </row>
    <row r="41" spans="1:11" s="2" customFormat="1">
      <c r="A41" s="3"/>
      <c r="B41" s="5" t="s">
        <v>397</v>
      </c>
      <c r="C41" s="38" t="str">
        <f>Data!$C$9</f>
        <v>£m 18/19</v>
      </c>
      <c r="D41" s="213">
        <f>D38+D39</f>
        <v>4.344645607780856E-2</v>
      </c>
      <c r="E41" s="213">
        <f t="shared" ref="E41:H41" si="3">E38+E39</f>
        <v>0.18833250534046853</v>
      </c>
      <c r="F41" s="213">
        <f t="shared" si="3"/>
        <v>0.2185689526002208</v>
      </c>
      <c r="G41" s="213">
        <f t="shared" si="3"/>
        <v>0.2185689526002208</v>
      </c>
      <c r="H41" s="213">
        <f t="shared" si="3"/>
        <v>0.2185689526002208</v>
      </c>
    </row>
    <row r="42" spans="1:11" s="2" customFormat="1">
      <c r="A42" s="3"/>
      <c r="B42" s="5"/>
      <c r="C42" s="38"/>
      <c r="D42" s="416"/>
      <c r="E42" s="416"/>
      <c r="F42" s="416"/>
      <c r="G42" s="416"/>
      <c r="H42" s="416"/>
    </row>
    <row r="43" spans="1:11" s="2" customFormat="1">
      <c r="A43" s="1" t="s">
        <v>203</v>
      </c>
      <c r="B43" s="5" t="s">
        <v>116</v>
      </c>
      <c r="C43" s="38"/>
      <c r="D43" s="416"/>
      <c r="E43" s="416"/>
      <c r="F43" s="416"/>
      <c r="G43" s="416"/>
      <c r="H43" s="416"/>
    </row>
    <row r="44" spans="1:11" s="2" customFormat="1" ht="13.5">
      <c r="A44" s="3"/>
      <c r="B44" s="66" t="s">
        <v>398</v>
      </c>
      <c r="C44" s="38" t="str">
        <f>Data!$C$9</f>
        <v>£m 18/19</v>
      </c>
      <c r="D44" s="308">
        <v>0.76759491953071546</v>
      </c>
      <c r="E44" s="556"/>
      <c r="F44" s="556"/>
      <c r="G44" s="556"/>
      <c r="H44" s="556"/>
      <c r="I44" s="2" t="s">
        <v>393</v>
      </c>
    </row>
    <row r="45" spans="1:11" s="2" customFormat="1" ht="13.5">
      <c r="A45" s="3"/>
      <c r="B45" s="66" t="s">
        <v>394</v>
      </c>
      <c r="C45" s="38" t="str">
        <f>Data!$C$9</f>
        <v>£m 18/19</v>
      </c>
      <c r="D45" s="308">
        <v>0</v>
      </c>
      <c r="E45" s="556"/>
      <c r="F45" s="556"/>
      <c r="G45" s="556"/>
      <c r="H45" s="556"/>
    </row>
    <row r="46" spans="1:11" s="2" customFormat="1" ht="13.5">
      <c r="A46" s="3"/>
      <c r="B46" s="66" t="s">
        <v>395</v>
      </c>
      <c r="C46" s="38" t="str">
        <f>Data!$C$9</f>
        <v>£m 18/19</v>
      </c>
      <c r="D46" s="204">
        <v>7.6716386983830209E-2</v>
      </c>
      <c r="E46" s="556"/>
      <c r="F46" s="556"/>
      <c r="G46" s="556"/>
      <c r="H46" s="556"/>
    </row>
    <row r="47" spans="1:11" s="2" customFormat="1" ht="13.5">
      <c r="A47" s="3"/>
      <c r="B47" s="2" t="s">
        <v>399</v>
      </c>
      <c r="C47" s="38" t="str">
        <f>Data!$C$9</f>
        <v>£m 18/19</v>
      </c>
      <c r="D47" s="208">
        <f>D44-D45-D46</f>
        <v>0.69087853254688525</v>
      </c>
      <c r="E47" s="556"/>
      <c r="F47" s="556"/>
      <c r="G47" s="556"/>
      <c r="H47" s="556"/>
    </row>
    <row r="48" spans="1:11" ht="13.5">
      <c r="A48" s="91"/>
      <c r="B48" s="5" t="s">
        <v>400</v>
      </c>
      <c r="C48" s="38" t="str">
        <f>Data!$C$9</f>
        <v>£m 18/19</v>
      </c>
      <c r="D48" s="209">
        <f>D45+D46</f>
        <v>7.6716386983830209E-2</v>
      </c>
      <c r="E48" s="556"/>
      <c r="F48" s="556"/>
      <c r="G48" s="556"/>
      <c r="H48" s="556"/>
      <c r="I48" s="2"/>
    </row>
    <row r="49" spans="1:11">
      <c r="B49" s="5"/>
      <c r="C49" s="38"/>
      <c r="D49" s="38"/>
      <c r="E49" s="38"/>
      <c r="F49" s="38"/>
      <c r="G49" s="38"/>
      <c r="H49" s="38"/>
      <c r="I49" s="38"/>
    </row>
    <row r="50" spans="1:11">
      <c r="A50" s="1" t="s">
        <v>204</v>
      </c>
      <c r="B50" s="5" t="s">
        <v>117</v>
      </c>
      <c r="C50" s="38"/>
      <c r="D50" s="416"/>
      <c r="E50" s="416"/>
      <c r="F50" s="416"/>
      <c r="G50" s="416"/>
      <c r="H50" s="416"/>
      <c r="I50" s="2"/>
    </row>
    <row r="51" spans="1:11">
      <c r="A51" s="3"/>
      <c r="B51" s="66" t="s">
        <v>401</v>
      </c>
      <c r="C51" s="38" t="str">
        <f>Data!$C$9</f>
        <v>£m 18/19</v>
      </c>
      <c r="D51" s="308">
        <v>0</v>
      </c>
      <c r="E51" s="308">
        <v>0.12688864396811189</v>
      </c>
      <c r="F51" s="308">
        <v>0</v>
      </c>
      <c r="G51" s="308">
        <v>0</v>
      </c>
      <c r="H51" s="308">
        <v>0</v>
      </c>
      <c r="I51" s="2" t="s">
        <v>393</v>
      </c>
    </row>
    <row r="52" spans="1:11">
      <c r="A52" s="3"/>
      <c r="B52" s="66" t="s">
        <v>402</v>
      </c>
      <c r="C52" s="38" t="str">
        <f>Data!$C$9</f>
        <v>£m 18/19</v>
      </c>
      <c r="D52" s="308">
        <v>0</v>
      </c>
      <c r="E52" s="308">
        <v>0</v>
      </c>
      <c r="F52" s="308">
        <v>0</v>
      </c>
      <c r="G52" s="308">
        <v>0</v>
      </c>
      <c r="H52" s="308">
        <v>0</v>
      </c>
      <c r="I52" s="2"/>
    </row>
    <row r="53" spans="1:11">
      <c r="A53" s="3"/>
      <c r="B53" s="66" t="s">
        <v>395</v>
      </c>
      <c r="C53" s="38" t="str">
        <f>Data!$C$9</f>
        <v>£m 18/19</v>
      </c>
      <c r="D53" s="204">
        <v>0</v>
      </c>
      <c r="E53" s="204">
        <v>0</v>
      </c>
      <c r="F53" s="204">
        <v>0</v>
      </c>
      <c r="G53" s="204">
        <v>0</v>
      </c>
      <c r="H53" s="204">
        <v>0</v>
      </c>
      <c r="I53" s="2"/>
    </row>
    <row r="54" spans="1:11">
      <c r="A54" s="3"/>
      <c r="B54" s="2" t="s">
        <v>403</v>
      </c>
      <c r="C54" s="38" t="str">
        <f>Data!$C$9</f>
        <v>£m 18/19</v>
      </c>
      <c r="D54" s="208">
        <f>D51-D52-D53</f>
        <v>0</v>
      </c>
      <c r="E54" s="209">
        <f>E51-E52-E53</f>
        <v>0.12688864396811189</v>
      </c>
      <c r="F54" s="209">
        <f>F51-F52-F53</f>
        <v>0</v>
      </c>
      <c r="G54" s="209">
        <f>G51-G52-G53</f>
        <v>0</v>
      </c>
      <c r="H54" s="209">
        <f>H51-H52-H53</f>
        <v>0</v>
      </c>
      <c r="I54" s="2"/>
    </row>
    <row r="55" spans="1:11">
      <c r="A55" s="91"/>
      <c r="B55" s="5" t="s">
        <v>404</v>
      </c>
      <c r="C55" s="38" t="str">
        <f>Data!$C$9</f>
        <v>£m 18/19</v>
      </c>
      <c r="D55" s="209">
        <f>D52+D53</f>
        <v>0</v>
      </c>
      <c r="E55" s="209">
        <f>E52+E53</f>
        <v>0</v>
      </c>
      <c r="F55" s="209">
        <f>F52+F53</f>
        <v>0</v>
      </c>
      <c r="G55" s="209">
        <f>G52+G53</f>
        <v>0</v>
      </c>
      <c r="H55" s="209">
        <f>H52+H53</f>
        <v>0</v>
      </c>
      <c r="I55" s="2"/>
    </row>
    <row r="56" spans="1:11">
      <c r="B56" s="5"/>
      <c r="C56" s="38"/>
      <c r="D56" s="38"/>
      <c r="E56" s="38"/>
      <c r="F56" s="38"/>
      <c r="G56" s="38"/>
      <c r="H56" s="38"/>
      <c r="I56" s="38"/>
    </row>
    <row r="57" spans="1:11">
      <c r="B57" s="5"/>
      <c r="C57" s="38"/>
      <c r="D57" s="38"/>
      <c r="E57" s="38"/>
      <c r="F57" s="38"/>
      <c r="G57" s="38"/>
      <c r="H57" s="38"/>
      <c r="I57" s="38"/>
    </row>
    <row r="58" spans="1:11" s="2" customFormat="1">
      <c r="B58" s="468" t="s">
        <v>405</v>
      </c>
      <c r="C58" s="69"/>
    </row>
    <row r="59" spans="1:11" s="2" customFormat="1" ht="15.4">
      <c r="B59" s="139" t="s">
        <v>406</v>
      </c>
      <c r="C59" s="650" t="s">
        <v>407</v>
      </c>
      <c r="D59" s="139"/>
      <c r="E59" s="139"/>
      <c r="F59" s="139"/>
      <c r="G59" s="139"/>
      <c r="H59" s="139"/>
      <c r="I59" s="139"/>
      <c r="J59" s="139"/>
      <c r="K59" s="139"/>
    </row>
    <row r="60" spans="1:11" s="2" customFormat="1">
      <c r="B60" s="513" t="s">
        <v>408</v>
      </c>
      <c r="C60" s="69"/>
    </row>
    <row r="61" spans="1:11" s="2" customFormat="1" ht="19.149999999999999" customHeight="1">
      <c r="A61" s="78"/>
      <c r="B61" s="333" t="s">
        <v>409</v>
      </c>
    </row>
    <row r="62" spans="1:11" s="2" customFormat="1" ht="14.65" customHeight="1">
      <c r="A62" s="78" t="s">
        <v>205</v>
      </c>
      <c r="B62" s="450" t="str">
        <f>Data!B187</f>
        <v/>
      </c>
      <c r="C62" s="38" t="str">
        <f>Data!$C$9</f>
        <v>£m 18/19</v>
      </c>
      <c r="D62" s="588">
        <v>0</v>
      </c>
      <c r="E62" s="588">
        <v>0</v>
      </c>
      <c r="F62" s="588">
        <v>0</v>
      </c>
      <c r="G62" s="588">
        <v>0</v>
      </c>
      <c r="H62" s="588">
        <v>0</v>
      </c>
    </row>
    <row r="63" spans="1:11" s="2" customFormat="1" ht="14.65" customHeight="1">
      <c r="A63" s="78" t="s">
        <v>206</v>
      </c>
      <c r="B63" s="450" t="str">
        <f>Data!B188</f>
        <v/>
      </c>
      <c r="C63" s="38" t="str">
        <f>Data!$C$9</f>
        <v>£m 18/19</v>
      </c>
      <c r="D63" s="588">
        <v>0</v>
      </c>
      <c r="E63" s="588">
        <v>0</v>
      </c>
      <c r="F63" s="588">
        <v>0</v>
      </c>
      <c r="G63" s="588">
        <v>0</v>
      </c>
      <c r="H63" s="588">
        <v>0</v>
      </c>
    </row>
    <row r="64" spans="1:11" s="2" customFormat="1" ht="14.65" customHeight="1">
      <c r="A64" s="78" t="s">
        <v>207</v>
      </c>
      <c r="B64" s="450" t="str">
        <f>Data!B189</f>
        <v/>
      </c>
      <c r="C64" s="38" t="str">
        <f>Data!$C$9</f>
        <v>£m 18/19</v>
      </c>
      <c r="D64" s="588">
        <v>0</v>
      </c>
      <c r="E64" s="588">
        <v>0</v>
      </c>
      <c r="F64" s="588">
        <v>0</v>
      </c>
      <c r="G64" s="588">
        <v>0</v>
      </c>
      <c r="H64" s="588">
        <v>0</v>
      </c>
    </row>
    <row r="65" spans="1:13" s="2" customFormat="1" ht="14.65" customHeight="1">
      <c r="A65" s="78" t="s">
        <v>208</v>
      </c>
      <c r="B65" s="450" t="str">
        <f>Data!B190</f>
        <v/>
      </c>
      <c r="C65" s="38" t="str">
        <f>Data!$C$9</f>
        <v>£m 18/19</v>
      </c>
      <c r="D65" s="588">
        <v>0</v>
      </c>
      <c r="E65" s="588">
        <v>0</v>
      </c>
      <c r="F65" s="588">
        <v>0</v>
      </c>
      <c r="G65" s="588">
        <v>0</v>
      </c>
      <c r="H65" s="588">
        <v>0</v>
      </c>
    </row>
    <row r="66" spans="1:13" s="2" customFormat="1" ht="14.65" customHeight="1">
      <c r="A66" s="78" t="s">
        <v>209</v>
      </c>
      <c r="B66" s="450" t="str">
        <f>Data!B191</f>
        <v/>
      </c>
      <c r="C66" s="38" t="str">
        <f>Data!$C$9</f>
        <v>£m 18/19</v>
      </c>
      <c r="D66" s="588">
        <v>0</v>
      </c>
      <c r="E66" s="588">
        <v>0</v>
      </c>
      <c r="F66" s="588">
        <v>0</v>
      </c>
      <c r="G66" s="588">
        <v>0</v>
      </c>
      <c r="H66" s="588">
        <v>0</v>
      </c>
    </row>
    <row r="67" spans="1:13" s="2" customFormat="1" ht="14.65" customHeight="1">
      <c r="B67" s="5"/>
      <c r="C67" s="77" t="str">
        <f>Data!$C$9</f>
        <v>£m 18/19</v>
      </c>
      <c r="D67" s="208">
        <f>SUM(D62:D66)</f>
        <v>0</v>
      </c>
      <c r="E67" s="208">
        <f>SUM(E62:E66)</f>
        <v>0</v>
      </c>
      <c r="F67" s="208">
        <f>SUM(F62:F66)</f>
        <v>0</v>
      </c>
      <c r="G67" s="208">
        <f>SUM(G62:G66)</f>
        <v>0</v>
      </c>
      <c r="H67" s="208">
        <f>SUM(H62:H66)</f>
        <v>0</v>
      </c>
    </row>
    <row r="68" spans="1:13" s="2" customFormat="1" ht="14.65" customHeight="1">
      <c r="B68" s="5"/>
      <c r="C68" s="77"/>
      <c r="D68" s="77"/>
      <c r="E68" s="77"/>
      <c r="F68" s="77"/>
      <c r="G68" s="77"/>
      <c r="H68" s="77"/>
      <c r="I68" s="77"/>
    </row>
    <row r="69" spans="1:13" s="192" customFormat="1" ht="14.25" customHeight="1">
      <c r="A69" s="191"/>
      <c r="M69" s="2"/>
    </row>
    <row r="70" spans="1:13" s="2" customFormat="1">
      <c r="A70" s="417"/>
      <c r="B70" s="418" t="s">
        <v>389</v>
      </c>
      <c r="C70" s="419"/>
      <c r="D70" s="419"/>
      <c r="E70" s="419"/>
      <c r="F70" s="419"/>
      <c r="G70" s="419"/>
      <c r="H70" s="419"/>
      <c r="I70" s="419"/>
      <c r="J70" s="419"/>
    </row>
    <row r="71" spans="1:13" s="2" customFormat="1">
      <c r="A71" s="420" t="s">
        <v>202</v>
      </c>
      <c r="B71" s="418"/>
      <c r="C71" s="419"/>
      <c r="D71" s="419"/>
      <c r="E71" s="419"/>
      <c r="F71" s="419"/>
      <c r="G71" s="419"/>
      <c r="H71" s="419"/>
      <c r="I71" s="419"/>
      <c r="J71" s="419"/>
    </row>
    <row r="72" spans="1:13" s="2" customFormat="1">
      <c r="A72" s="420" t="s">
        <v>203</v>
      </c>
      <c r="B72" s="418"/>
      <c r="C72" s="419"/>
      <c r="D72" s="419"/>
      <c r="E72" s="419"/>
      <c r="F72" s="419"/>
      <c r="G72" s="419"/>
      <c r="H72" s="419"/>
      <c r="I72" s="419"/>
      <c r="J72" s="419"/>
    </row>
    <row r="73" spans="1:13" s="2" customFormat="1">
      <c r="A73" s="420" t="s">
        <v>204</v>
      </c>
      <c r="B73" s="852"/>
      <c r="C73" s="852"/>
      <c r="D73" s="852"/>
      <c r="E73" s="852"/>
      <c r="F73" s="852"/>
      <c r="G73" s="852"/>
      <c r="H73" s="852"/>
      <c r="I73" s="852"/>
      <c r="J73" s="852"/>
    </row>
    <row r="74" spans="1:13" s="2" customFormat="1">
      <c r="A74" s="420" t="s">
        <v>205</v>
      </c>
      <c r="B74" s="852"/>
      <c r="C74" s="852"/>
      <c r="D74" s="852"/>
      <c r="E74" s="852"/>
      <c r="F74" s="852"/>
      <c r="G74" s="852"/>
      <c r="H74" s="852"/>
      <c r="I74" s="852"/>
      <c r="J74" s="852"/>
    </row>
    <row r="75" spans="1:13" s="2" customFormat="1">
      <c r="A75" s="420" t="s">
        <v>206</v>
      </c>
      <c r="B75" s="852"/>
      <c r="C75" s="852"/>
      <c r="D75" s="852"/>
      <c r="E75" s="852"/>
      <c r="F75" s="852"/>
      <c r="G75" s="852"/>
      <c r="H75" s="852"/>
      <c r="I75" s="852"/>
      <c r="J75" s="852"/>
    </row>
    <row r="76" spans="1:13" s="2" customFormat="1">
      <c r="A76" s="420" t="s">
        <v>207</v>
      </c>
      <c r="B76" s="852"/>
      <c r="C76" s="852"/>
      <c r="D76" s="852"/>
      <c r="E76" s="852"/>
      <c r="F76" s="852"/>
      <c r="G76" s="852"/>
      <c r="H76" s="852"/>
      <c r="I76" s="852"/>
      <c r="J76" s="852"/>
    </row>
    <row r="77" spans="1:13" s="2" customFormat="1">
      <c r="A77" s="420" t="s">
        <v>208</v>
      </c>
      <c r="B77" s="376"/>
      <c r="C77" s="376"/>
      <c r="D77" s="376"/>
      <c r="E77" s="376"/>
      <c r="F77" s="376"/>
      <c r="G77" s="376"/>
      <c r="H77" s="376"/>
      <c r="I77" s="376"/>
      <c r="J77" s="376"/>
    </row>
    <row r="78" spans="1:13" s="2" customFormat="1">
      <c r="A78" s="420" t="s">
        <v>209</v>
      </c>
      <c r="B78" s="852"/>
      <c r="C78" s="852"/>
      <c r="D78" s="852"/>
      <c r="E78" s="852"/>
      <c r="F78" s="852"/>
      <c r="G78" s="852"/>
      <c r="H78" s="852"/>
      <c r="I78" s="852"/>
      <c r="J78" s="852"/>
    </row>
  </sheetData>
  <mergeCells count="12">
    <mergeCell ref="B24:J24"/>
    <mergeCell ref="B78:J78"/>
    <mergeCell ref="B73:J73"/>
    <mergeCell ref="B74:J74"/>
    <mergeCell ref="B75:J75"/>
    <mergeCell ref="B76:J76"/>
    <mergeCell ref="B30:J30"/>
    <mergeCell ref="B25:J25"/>
    <mergeCell ref="B26:J26"/>
    <mergeCell ref="B27:J27"/>
    <mergeCell ref="B28:J28"/>
    <mergeCell ref="B29:J29"/>
  </mergeCells>
  <conditionalFormatting sqref="D5:G6 I5">
    <cfRule type="expression" dxfId="50" priority="33">
      <formula>AND(D$5="Actuals",E$5="Forecast")</formula>
    </cfRule>
  </conditionalFormatting>
  <conditionalFormatting sqref="H5:H6">
    <cfRule type="expression" dxfId="49" priority="237">
      <formula>AND(H$5="Actuals",#REF!="Forecast")</formula>
    </cfRule>
  </conditionalFormatting>
  <conditionalFormatting sqref="D7:H7">
    <cfRule type="expression" dxfId="48" priority="1">
      <formula>AND(D$5="Actuals",E$5="Forecast")</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FFFFCC"/>
    <pageSetUpPr fitToPage="1"/>
  </sheetPr>
  <dimension ref="A1:L91"/>
  <sheetViews>
    <sheetView showGridLines="0" tabSelected="1" zoomScale="67" zoomScaleNormal="100" workbookViewId="0">
      <pane ySplit="7" topLeftCell="A57" activePane="bottomLeft" state="frozen"/>
      <selection activeCell="B1" sqref="B1"/>
      <selection pane="bottomLeft" activeCell="E81" sqref="E81"/>
    </sheetView>
  </sheetViews>
  <sheetFormatPr defaultRowHeight="12.4"/>
  <cols>
    <col min="1" max="1" width="8.3515625" customWidth="1"/>
    <col min="2" max="2" width="101.76171875" customWidth="1"/>
    <col min="3" max="3" width="14.1171875" customWidth="1"/>
    <col min="4" max="8" width="11.1171875" customWidth="1"/>
    <col min="9" max="10" width="12.87890625" customWidth="1"/>
    <col min="11" max="11" width="5" customWidth="1"/>
  </cols>
  <sheetData>
    <row r="1" spans="1:11" ht="20.65">
      <c r="A1" s="777" t="s">
        <v>177</v>
      </c>
      <c r="B1" s="397"/>
      <c r="C1" s="398"/>
      <c r="D1" s="398"/>
      <c r="E1" s="398"/>
      <c r="F1" s="398"/>
      <c r="G1" s="398"/>
      <c r="H1" s="398"/>
      <c r="I1" s="399"/>
      <c r="J1" s="399"/>
      <c r="K1" s="786"/>
    </row>
    <row r="2" spans="1:11" ht="20.65">
      <c r="A2" s="295" t="str">
        <f>Licensee</f>
        <v>Cadent-NW</v>
      </c>
      <c r="B2" s="290"/>
      <c r="C2" s="16"/>
      <c r="D2" s="16"/>
      <c r="E2" s="16"/>
      <c r="F2" s="16"/>
      <c r="G2" s="16"/>
      <c r="H2" s="16"/>
      <c r="I2" s="15"/>
      <c r="J2" s="15"/>
      <c r="K2" s="65"/>
    </row>
    <row r="3" spans="1:11" ht="20.65">
      <c r="A3" s="290">
        <f>Reporting_Year</f>
        <v>2022</v>
      </c>
      <c r="B3" s="589" t="str">
        <f>IF('RFPR cover'!C7=Data!B78,"Not required to be completed for System Operator","")</f>
        <v/>
      </c>
      <c r="C3" s="590"/>
      <c r="D3" s="577"/>
      <c r="E3" s="577"/>
      <c r="F3" s="577"/>
      <c r="G3" s="577"/>
      <c r="H3" s="577"/>
      <c r="I3" s="578"/>
      <c r="J3" s="578"/>
      <c r="K3" s="119"/>
    </row>
    <row r="4" spans="1:11" ht="12.75" customHeight="1">
      <c r="A4" s="22"/>
      <c r="B4" s="22"/>
      <c r="C4" s="22"/>
      <c r="D4" s="22"/>
      <c r="E4" s="22"/>
      <c r="F4" s="22"/>
      <c r="G4" s="22"/>
      <c r="H4" s="22"/>
      <c r="I4" s="19"/>
    </row>
    <row r="5" spans="1:11" s="2" customFormat="1">
      <c r="B5" s="3"/>
      <c r="C5" s="3"/>
      <c r="D5" s="153" t="str">
        <f t="shared" ref="D5:I5" si="0">IF(D6&lt;=Reporting_Year,"Actuals","Forecast")</f>
        <v>Actuals</v>
      </c>
      <c r="E5" s="153" t="str">
        <f t="shared" si="0"/>
        <v>Forecast</v>
      </c>
      <c r="F5" s="153" t="str">
        <f t="shared" si="0"/>
        <v>Forecast</v>
      </c>
      <c r="G5" s="153" t="str">
        <f t="shared" si="0"/>
        <v>Forecast</v>
      </c>
      <c r="H5" s="153" t="str">
        <f t="shared" si="0"/>
        <v>Forecast</v>
      </c>
      <c r="I5" s="153" t="str">
        <f t="shared" si="0"/>
        <v>Forecast</v>
      </c>
    </row>
    <row r="6" spans="1:11" s="2" customFormat="1" ht="24.75">
      <c r="D6" s="62">
        <f>'RFPR cover'!$C$6</f>
        <v>2022</v>
      </c>
      <c r="E6" s="63">
        <f>D6+1</f>
        <v>2023</v>
      </c>
      <c r="F6" s="63">
        <f t="shared" ref="F6:H6" si="1">E6+1</f>
        <v>2024</v>
      </c>
      <c r="G6" s="63">
        <f t="shared" si="1"/>
        <v>2025</v>
      </c>
      <c r="H6" s="87">
        <f t="shared" si="1"/>
        <v>2026</v>
      </c>
      <c r="I6" s="421" t="str">
        <f>"Cumulative to "&amp;'RFPR cover'!$C$9</f>
        <v>Cumulative to 2022</v>
      </c>
      <c r="J6" s="124" t="s">
        <v>191</v>
      </c>
    </row>
    <row r="7" spans="1:11" s="2" customFormat="1">
      <c r="D7" s="62" t="str">
        <f>RIIO_2_start_date-1&amp;"/"&amp;RIGHT(RIIO_2_start_date,2)</f>
        <v>2021/22</v>
      </c>
      <c r="E7" s="62" t="str">
        <f>RIIO_2_start_date&amp;"/"&amp;RIGHT(RIIO_2_start_date+1,2)</f>
        <v>2022/23</v>
      </c>
      <c r="F7" s="62" t="str">
        <f>RIIO_2_start_date+1&amp;"/"&amp;RIGHT(RIIO_2_start_date+2,2)</f>
        <v>2023/24</v>
      </c>
      <c r="G7" s="62" t="str">
        <f>RIIO_2_start_date+2&amp;"/"&amp;RIGHT(RIIO_2_start_date+3,2)</f>
        <v>2024/25</v>
      </c>
      <c r="H7" s="422" t="str">
        <f>RIIO_2_start_date+3&amp;"/"&amp;RIGHT(RIIO_2_start_date+4,2)</f>
        <v>2025/26</v>
      </c>
    </row>
    <row r="8" spans="1:11" s="2" customFormat="1"/>
    <row r="9" spans="1:11">
      <c r="B9" s="175" t="s">
        <v>730</v>
      </c>
      <c r="C9" s="75" t="s">
        <v>230</v>
      </c>
      <c r="D9" s="141">
        <v>316.35346812999995</v>
      </c>
      <c r="E9" s="152">
        <v>349.81853859483914</v>
      </c>
      <c r="F9" s="152">
        <v>223.14880333349785</v>
      </c>
      <c r="G9" s="152">
        <v>142.31765986945587</v>
      </c>
      <c r="H9" s="152">
        <v>135.82065220276215</v>
      </c>
      <c r="I9" s="2"/>
      <c r="J9" s="2"/>
    </row>
    <row r="10" spans="1:11">
      <c r="B10" s="6"/>
      <c r="C10" s="75"/>
      <c r="D10" s="105"/>
      <c r="E10" s="105"/>
      <c r="F10" s="105"/>
      <c r="G10" s="105"/>
      <c r="H10" s="105"/>
      <c r="I10" s="2"/>
      <c r="J10" s="2"/>
    </row>
    <row r="11" spans="1:11">
      <c r="B11" s="6" t="s">
        <v>410</v>
      </c>
      <c r="C11" s="8"/>
      <c r="D11" s="106"/>
      <c r="E11" s="106"/>
      <c r="F11" s="106"/>
      <c r="G11" s="106"/>
      <c r="H11" s="106"/>
      <c r="I11" s="2"/>
      <c r="J11" s="2"/>
    </row>
    <row r="12" spans="1:11">
      <c r="B12" s="146" t="s">
        <v>711</v>
      </c>
      <c r="C12" s="75" t="s">
        <v>230</v>
      </c>
      <c r="D12" s="141">
        <v>0</v>
      </c>
      <c r="E12" s="152">
        <v>0</v>
      </c>
      <c r="F12" s="152">
        <v>0</v>
      </c>
      <c r="G12" s="152">
        <v>0</v>
      </c>
      <c r="H12" s="152">
        <v>0</v>
      </c>
      <c r="I12" s="2"/>
      <c r="J12" s="2"/>
    </row>
    <row r="13" spans="1:11">
      <c r="B13" s="146" t="s">
        <v>712</v>
      </c>
      <c r="C13" s="75" t="s">
        <v>230</v>
      </c>
      <c r="D13" s="141">
        <v>13.819698439999998</v>
      </c>
      <c r="E13" s="152">
        <v>14.96322958010192</v>
      </c>
      <c r="F13" s="152">
        <v>14.905348456756219</v>
      </c>
      <c r="G13" s="152">
        <v>4.3884096321586084</v>
      </c>
      <c r="H13" s="152">
        <v>3.2317871291445783</v>
      </c>
      <c r="I13" s="2"/>
      <c r="J13" s="2"/>
    </row>
    <row r="14" spans="1:11">
      <c r="B14" s="146" t="s">
        <v>713</v>
      </c>
      <c r="C14" s="75" t="s">
        <v>230</v>
      </c>
      <c r="D14" s="141">
        <v>0</v>
      </c>
      <c r="E14" s="152">
        <v>0</v>
      </c>
      <c r="F14" s="152">
        <v>0</v>
      </c>
      <c r="G14" s="152">
        <v>0</v>
      </c>
      <c r="H14" s="152">
        <v>0</v>
      </c>
      <c r="I14" s="2"/>
      <c r="J14" s="2"/>
    </row>
    <row r="15" spans="1:11">
      <c r="B15" s="146" t="s">
        <v>714</v>
      </c>
      <c r="C15" s="75" t="s">
        <v>230</v>
      </c>
      <c r="D15" s="141">
        <v>0</v>
      </c>
      <c r="E15" s="152">
        <v>0</v>
      </c>
      <c r="F15" s="152">
        <v>0</v>
      </c>
      <c r="G15" s="152">
        <v>0</v>
      </c>
      <c r="H15" s="152">
        <v>0</v>
      </c>
      <c r="I15" s="2"/>
      <c r="J15" s="2"/>
    </row>
    <row r="16" spans="1:11">
      <c r="B16" s="146" t="s">
        <v>715</v>
      </c>
      <c r="C16" s="75" t="s">
        <v>230</v>
      </c>
      <c r="D16" s="141">
        <v>0</v>
      </c>
      <c r="E16" s="152">
        <v>0</v>
      </c>
      <c r="F16" s="152">
        <v>0</v>
      </c>
      <c r="G16" s="152">
        <v>0</v>
      </c>
      <c r="H16" s="152">
        <v>0</v>
      </c>
      <c r="I16" s="2"/>
      <c r="J16" s="2"/>
    </row>
    <row r="17" spans="2:9">
      <c r="B17" s="146" t="s">
        <v>716</v>
      </c>
      <c r="C17" s="75" t="s">
        <v>230</v>
      </c>
      <c r="D17" s="141">
        <v>9</v>
      </c>
      <c r="E17" s="152">
        <v>8.8368363520757018</v>
      </c>
      <c r="F17" s="152">
        <v>8.7918003117010972</v>
      </c>
      <c r="G17" s="152">
        <v>8.7367111929130274</v>
      </c>
      <c r="H17" s="152">
        <v>8.7081470177787939</v>
      </c>
      <c r="I17" s="2"/>
    </row>
    <row r="18" spans="2:9">
      <c r="B18" s="146" t="s">
        <v>717</v>
      </c>
      <c r="C18" s="75" t="s">
        <v>230</v>
      </c>
      <c r="D18" s="141">
        <v>-4.5332836099999936</v>
      </c>
      <c r="E18" s="152">
        <v>-4.8526937819064493</v>
      </c>
      <c r="F18" s="152">
        <v>-5.0141185718352901</v>
      </c>
      <c r="G18" s="152">
        <v>-4.714381550817734</v>
      </c>
      <c r="H18" s="152">
        <v>-3.9335758278285597</v>
      </c>
      <c r="I18" s="2"/>
    </row>
    <row r="19" spans="2:9" ht="12.75" customHeight="1">
      <c r="B19" s="146" t="s">
        <v>718</v>
      </c>
      <c r="C19" s="75" t="s">
        <v>230</v>
      </c>
      <c r="D19" s="141">
        <v>-0.2824158799999999</v>
      </c>
      <c r="E19" s="152">
        <v>-0.6590467065819986</v>
      </c>
      <c r="F19" s="152">
        <v>-0.65904689418199869</v>
      </c>
      <c r="G19" s="152">
        <v>-0.65904689418199869</v>
      </c>
      <c r="H19" s="152">
        <v>-0.33074689418199871</v>
      </c>
      <c r="I19" s="2"/>
    </row>
    <row r="20" spans="2:9">
      <c r="B20" s="146" t="s">
        <v>719</v>
      </c>
      <c r="C20" s="75" t="s">
        <v>230</v>
      </c>
      <c r="D20" s="141">
        <v>0</v>
      </c>
      <c r="E20" s="152">
        <v>0</v>
      </c>
      <c r="F20" s="152">
        <v>0</v>
      </c>
      <c r="G20" s="152">
        <v>0</v>
      </c>
      <c r="H20" s="152">
        <v>0</v>
      </c>
      <c r="I20" s="2"/>
    </row>
    <row r="21" spans="2:9">
      <c r="B21" s="146" t="s">
        <v>720</v>
      </c>
      <c r="C21" s="75" t="s">
        <v>230</v>
      </c>
      <c r="D21" s="141">
        <v>-0.28329284999999998</v>
      </c>
      <c r="E21" s="152">
        <v>-0.3</v>
      </c>
      <c r="F21" s="152">
        <v>-0.3</v>
      </c>
      <c r="G21" s="152">
        <v>-0.3</v>
      </c>
      <c r="H21" s="152">
        <v>-0.3</v>
      </c>
      <c r="I21" s="2"/>
    </row>
    <row r="22" spans="2:9">
      <c r="B22" s="146" t="s">
        <v>721</v>
      </c>
      <c r="C22" s="75" t="s">
        <v>230</v>
      </c>
      <c r="D22" s="141">
        <v>-2.0715935500000002</v>
      </c>
      <c r="E22" s="152">
        <v>-1.5596520808686549</v>
      </c>
      <c r="F22" s="152">
        <v>-1.5596518008686546</v>
      </c>
      <c r="G22" s="152">
        <v>-1.5596520808686549</v>
      </c>
      <c r="H22" s="152">
        <v>-1.5596520808686549</v>
      </c>
      <c r="I22" s="2"/>
    </row>
    <row r="23" spans="2:9">
      <c r="B23" s="146" t="s">
        <v>722</v>
      </c>
      <c r="C23" s="75" t="s">
        <v>230</v>
      </c>
      <c r="D23" s="141">
        <v>-77.819520879999999</v>
      </c>
      <c r="E23" s="152">
        <v>0</v>
      </c>
      <c r="F23" s="152">
        <v>0</v>
      </c>
      <c r="G23" s="152">
        <v>0</v>
      </c>
      <c r="H23" s="152">
        <v>0</v>
      </c>
      <c r="I23" s="2"/>
    </row>
    <row r="24" spans="2:9">
      <c r="B24" s="146" t="s">
        <v>723</v>
      </c>
      <c r="C24" s="75" t="s">
        <v>230</v>
      </c>
      <c r="D24" s="141">
        <v>0</v>
      </c>
      <c r="E24" s="152">
        <v>0</v>
      </c>
      <c r="F24" s="152">
        <v>0</v>
      </c>
      <c r="G24" s="152">
        <v>0</v>
      </c>
      <c r="H24" s="152">
        <v>0</v>
      </c>
      <c r="I24" s="2"/>
    </row>
    <row r="25" spans="2:9">
      <c r="B25" s="146" t="s">
        <v>724</v>
      </c>
      <c r="C25" s="75" t="s">
        <v>230</v>
      </c>
      <c r="D25" s="141">
        <v>76.301751127434784</v>
      </c>
      <c r="E25" s="152">
        <v>68.25365874256029</v>
      </c>
      <c r="F25" s="152">
        <v>54.487363216055257</v>
      </c>
      <c r="G25" s="152">
        <v>44.605492299657257</v>
      </c>
      <c r="H25" s="152">
        <v>43.356358075206941</v>
      </c>
      <c r="I25" s="2"/>
    </row>
    <row r="26" spans="2:9">
      <c r="B26" s="146" t="s">
        <v>725</v>
      </c>
      <c r="C26" s="75" t="s">
        <v>230</v>
      </c>
      <c r="D26" s="141">
        <v>-252.10165209133083</v>
      </c>
      <c r="E26" s="152">
        <v>-331.03586688611614</v>
      </c>
      <c r="F26" s="152">
        <v>-223.99349971417729</v>
      </c>
      <c r="G26" s="152">
        <v>-147.15655489181904</v>
      </c>
      <c r="H26" s="152">
        <v>-141.42276825589252</v>
      </c>
      <c r="I26" s="2"/>
    </row>
    <row r="27" spans="2:9">
      <c r="B27" s="146" t="s">
        <v>726</v>
      </c>
      <c r="C27" s="75" t="s">
        <v>230</v>
      </c>
      <c r="D27" s="141">
        <v>0</v>
      </c>
      <c r="E27" s="152">
        <v>0</v>
      </c>
      <c r="F27" s="152">
        <v>0</v>
      </c>
      <c r="G27" s="152">
        <v>0</v>
      </c>
      <c r="H27" s="152">
        <v>0</v>
      </c>
      <c r="I27" s="2"/>
    </row>
    <row r="28" spans="2:9">
      <c r="B28" s="146" t="s">
        <v>726</v>
      </c>
      <c r="C28" s="75" t="s">
        <v>230</v>
      </c>
      <c r="D28" s="141">
        <v>0</v>
      </c>
      <c r="E28" s="152">
        <v>0</v>
      </c>
      <c r="F28" s="152">
        <v>0</v>
      </c>
      <c r="G28" s="152">
        <v>0</v>
      </c>
      <c r="H28" s="152">
        <v>0</v>
      </c>
      <c r="I28" s="2"/>
    </row>
    <row r="29" spans="2:9">
      <c r="B29" s="377" t="s">
        <v>290</v>
      </c>
      <c r="C29" s="75" t="s">
        <v>230</v>
      </c>
      <c r="D29" s="71">
        <f>SUM(D9,D12:D28)</f>
        <v>78.383158836103917</v>
      </c>
      <c r="E29" s="72">
        <f t="shared" ref="E29:H29" si="2">SUM(E9,E12:E28)</f>
        <v>103.4650038141038</v>
      </c>
      <c r="F29" s="72">
        <f t="shared" si="2"/>
        <v>69.806998336947174</v>
      </c>
      <c r="G29" s="72">
        <f t="shared" si="2"/>
        <v>45.658637576497313</v>
      </c>
      <c r="H29" s="72">
        <f t="shared" si="2"/>
        <v>43.570201366120727</v>
      </c>
      <c r="I29" s="2"/>
    </row>
    <row r="30" spans="2:9" ht="13.5">
      <c r="B30" s="147" t="s">
        <v>411</v>
      </c>
      <c r="C30" s="75" t="s">
        <v>230</v>
      </c>
      <c r="D30" s="556"/>
      <c r="E30" s="203">
        <v>0.60739294427355062</v>
      </c>
      <c r="F30" s="203">
        <v>3.7493279999999998</v>
      </c>
      <c r="G30" s="203">
        <v>5.5416384620498027</v>
      </c>
      <c r="H30" s="203">
        <v>9.1515462117732316</v>
      </c>
      <c r="I30" s="2"/>
    </row>
    <row r="31" spans="2:9">
      <c r="B31" s="377" t="s">
        <v>412</v>
      </c>
      <c r="C31" s="75" t="s">
        <v>230</v>
      </c>
      <c r="D31" s="71">
        <f>SUM(D29:D30)</f>
        <v>78.383158836103917</v>
      </c>
      <c r="E31" s="72">
        <f t="shared" ref="E31:H31" si="3">SUM(E29:E30)</f>
        <v>104.07239675837735</v>
      </c>
      <c r="F31" s="72">
        <f t="shared" si="3"/>
        <v>73.55632633694718</v>
      </c>
      <c r="G31" s="72">
        <f t="shared" si="3"/>
        <v>51.200276038547116</v>
      </c>
      <c r="H31" s="72">
        <f t="shared" si="3"/>
        <v>52.721747577893957</v>
      </c>
      <c r="I31" s="2"/>
    </row>
    <row r="32" spans="2:9">
      <c r="B32" s="88" t="s">
        <v>413</v>
      </c>
      <c r="C32" s="75" t="s">
        <v>230</v>
      </c>
      <c r="D32" s="203">
        <v>78.383158836103917</v>
      </c>
      <c r="E32" s="203">
        <v>104.07239675837735</v>
      </c>
      <c r="F32" s="203">
        <v>73.55632633694718</v>
      </c>
      <c r="G32" s="203">
        <v>51.200276038547116</v>
      </c>
      <c r="H32" s="203">
        <v>52.721747577893957</v>
      </c>
      <c r="I32" s="2"/>
    </row>
    <row r="33" spans="2:11">
      <c r="B33" s="88" t="s">
        <v>414</v>
      </c>
      <c r="C33" s="75" t="s">
        <v>230</v>
      </c>
      <c r="D33" s="203">
        <v>0</v>
      </c>
      <c r="E33" s="203">
        <v>0</v>
      </c>
      <c r="F33" s="203">
        <v>0</v>
      </c>
      <c r="G33" s="203">
        <v>0</v>
      </c>
      <c r="H33" s="203">
        <v>0</v>
      </c>
      <c r="I33" s="2"/>
    </row>
    <row r="34" spans="2:11">
      <c r="B34" s="88"/>
      <c r="D34" s="103" t="str">
        <f>IF(ABS(D31-SUM(D32:D33))&lt;Data!$F$7,"OK","ERROR")</f>
        <v>OK</v>
      </c>
      <c r="E34" s="104" t="str">
        <f>IF(ABS(E31-SUM(E32:E33))&lt;Data!$F$7,"OK","ERROR")</f>
        <v>OK</v>
      </c>
      <c r="F34" s="104" t="str">
        <f>IF(ABS(F31-SUM(F32:F33))&lt;Data!$F$7,"OK","ERROR")</f>
        <v>OK</v>
      </c>
      <c r="G34" s="104" t="str">
        <f>IF(ABS(G31-SUM(G32:G33))&lt;Data!$F$7,"OK","ERROR")</f>
        <v>OK</v>
      </c>
      <c r="H34" s="104" t="str">
        <f>IF(ABS(H31-SUM(H32:H33))&lt;Data!$F$7,"OK","ERROR")</f>
        <v>OK</v>
      </c>
      <c r="I34" s="2"/>
    </row>
    <row r="35" spans="2:11">
      <c r="D35" s="12"/>
      <c r="E35" s="12"/>
      <c r="F35" s="12"/>
      <c r="G35" s="12"/>
      <c r="H35" s="12"/>
      <c r="I35" s="2"/>
    </row>
    <row r="36" spans="2:11">
      <c r="B36" s="88" t="s">
        <v>415</v>
      </c>
      <c r="C36" s="75" t="s">
        <v>230</v>
      </c>
      <c r="D36" s="203">
        <v>142.33550731</v>
      </c>
      <c r="E36" s="203">
        <v>230.41611053432803</v>
      </c>
      <c r="F36" s="203">
        <v>103.66260741758725</v>
      </c>
      <c r="G36" s="203">
        <v>49.016580479587539</v>
      </c>
      <c r="H36" s="203">
        <v>56.678255914292322</v>
      </c>
      <c r="I36" s="2"/>
    </row>
    <row r="37" spans="2:11">
      <c r="D37" s="12"/>
      <c r="E37" s="12"/>
      <c r="F37" s="12"/>
      <c r="G37" s="12"/>
      <c r="H37" s="12"/>
      <c r="I37" s="2"/>
    </row>
    <row r="38" spans="2:11">
      <c r="B38" s="88" t="s">
        <v>416</v>
      </c>
      <c r="C38" s="75" t="s">
        <v>230</v>
      </c>
      <c r="D38" s="283">
        <v>72.774553473967359</v>
      </c>
      <c r="E38" s="283">
        <v>137.82582453998648</v>
      </c>
      <c r="F38" s="283">
        <v>62.518764136573878</v>
      </c>
      <c r="G38" s="283">
        <v>31.682717743330308</v>
      </c>
      <c r="H38" s="283">
        <v>35.540858234612458</v>
      </c>
      <c r="I38" s="2"/>
      <c r="K38" s="130"/>
    </row>
    <row r="39" spans="2:11">
      <c r="B39" s="88"/>
      <c r="C39" s="75"/>
      <c r="D39" s="253"/>
      <c r="E39" s="253"/>
      <c r="F39" s="253"/>
      <c r="G39" s="253"/>
      <c r="H39" s="253"/>
      <c r="I39" s="2"/>
      <c r="K39" s="130"/>
    </row>
    <row r="40" spans="2:11">
      <c r="B40" s="88" t="s">
        <v>417</v>
      </c>
      <c r="C40" s="75" t="s">
        <v>230</v>
      </c>
      <c r="D40" s="50">
        <f>D31-D38</f>
        <v>5.6086053621365579</v>
      </c>
      <c r="E40" s="50">
        <f t="shared" ref="E40:H40" si="4">E31-E38</f>
        <v>-33.753427781609133</v>
      </c>
      <c r="F40" s="50">
        <f t="shared" si="4"/>
        <v>11.037562200373301</v>
      </c>
      <c r="G40" s="50">
        <f t="shared" si="4"/>
        <v>19.517558295216809</v>
      </c>
      <c r="H40" s="50">
        <f t="shared" si="4"/>
        <v>17.1808893432815</v>
      </c>
    </row>
    <row r="41" spans="2:11">
      <c r="B41" s="88"/>
      <c r="C41" s="75"/>
      <c r="D41" s="75"/>
      <c r="E41" s="75"/>
      <c r="F41" s="75"/>
      <c r="G41" s="75"/>
      <c r="H41" s="75"/>
      <c r="I41" s="75"/>
      <c r="K41" s="130"/>
    </row>
    <row r="42" spans="2:11">
      <c r="B42" s="270" t="s">
        <v>418</v>
      </c>
      <c r="C42" s="75" t="s">
        <v>419</v>
      </c>
      <c r="D42" s="178">
        <f t="shared" ref="D42:H42" si="5">INDEX(real_to_nominal_CF,MATCH(D$6,calendar_year,0))</f>
        <v>1.0847835302284383</v>
      </c>
      <c r="E42" s="178">
        <f t="shared" si="5"/>
        <v>1.1682111694202062</v>
      </c>
      <c r="F42" s="178">
        <f t="shared" si="5"/>
        <v>1.2070548174037865</v>
      </c>
      <c r="G42" s="178">
        <f t="shared" si="5"/>
        <v>1.2275072378847331</v>
      </c>
      <c r="H42" s="178">
        <f t="shared" si="5"/>
        <v>1.2509585044470788</v>
      </c>
      <c r="I42" s="75"/>
      <c r="K42" s="130"/>
    </row>
    <row r="43" spans="2:11">
      <c r="I43" s="38"/>
      <c r="J43" s="38"/>
      <c r="K43" s="38"/>
    </row>
    <row r="44" spans="2:11">
      <c r="B44" s="243" t="s">
        <v>420</v>
      </c>
      <c r="C44" s="77" t="str">
        <f>Data!$C$9</f>
        <v>£m 18/19</v>
      </c>
      <c r="D44" s="71">
        <f t="shared" ref="D44:H44" si="6">D40/D42</f>
        <v>5.1702530558843147</v>
      </c>
      <c r="E44" s="72">
        <f t="shared" si="6"/>
        <v>-28.893258911709658</v>
      </c>
      <c r="F44" s="72">
        <f t="shared" si="6"/>
        <v>9.1442095596897754</v>
      </c>
      <c r="G44" s="72">
        <f t="shared" si="6"/>
        <v>15.900157402615307</v>
      </c>
      <c r="H44" s="72">
        <f t="shared" si="6"/>
        <v>13.734180056496294</v>
      </c>
      <c r="I44" s="224">
        <f>SUM(D44:INDEX(D44:H44,0,MATCH('RFPR cover'!$C$9,$D$6:$H$6,0)))</f>
        <v>5.1702530558843147</v>
      </c>
      <c r="J44" s="225">
        <f>SUM(D44:H44)</f>
        <v>15.055541162976034</v>
      </c>
    </row>
    <row r="45" spans="2:11">
      <c r="B45" s="88"/>
      <c r="C45" s="38"/>
      <c r="D45" s="251"/>
      <c r="E45" s="251"/>
      <c r="F45" s="251"/>
      <c r="G45" s="251"/>
      <c r="H45" s="251"/>
      <c r="I45" s="257"/>
      <c r="J45" s="257"/>
    </row>
    <row r="46" spans="2:11">
      <c r="B46" s="243" t="s">
        <v>421</v>
      </c>
      <c r="C46" s="75"/>
      <c r="D46" s="251"/>
      <c r="E46" s="251"/>
      <c r="F46" s="251"/>
      <c r="G46" s="251"/>
      <c r="H46" s="251"/>
      <c r="I46" s="257"/>
      <c r="J46" s="257"/>
    </row>
    <row r="47" spans="2:11">
      <c r="B47" s="146" t="s">
        <v>727</v>
      </c>
      <c r="C47" s="75" t="s">
        <v>230</v>
      </c>
      <c r="D47" s="282">
        <v>4.5332836099999936</v>
      </c>
      <c r="E47" s="282">
        <v>4.8526937819064493</v>
      </c>
      <c r="F47" s="282">
        <v>5.0141185718352901</v>
      </c>
      <c r="G47" s="282">
        <v>4.714381550817734</v>
      </c>
      <c r="H47" s="282">
        <v>3.9335758278285597</v>
      </c>
      <c r="I47" s="224">
        <f>SUM(D47:INDEX(D47:H47,0,MATCH('RFPR cover'!$C$9,$D$6:$H$6,0)))</f>
        <v>4.5332836099999936</v>
      </c>
      <c r="J47" s="224">
        <f t="shared" ref="J47:J54" si="7">SUM(D47:H47)</f>
        <v>23.048053342388027</v>
      </c>
    </row>
    <row r="48" spans="2:11" ht="13.5">
      <c r="B48" s="146" t="s">
        <v>422</v>
      </c>
      <c r="C48" s="75" t="s">
        <v>230</v>
      </c>
      <c r="D48" s="556"/>
      <c r="E48" s="203">
        <v>6.9284243492842438E-3</v>
      </c>
      <c r="F48" s="203">
        <v>4.2768E-2</v>
      </c>
      <c r="G48" s="203">
        <v>6.7419879452054798E-2</v>
      </c>
      <c r="H48" s="203">
        <v>9.1854185418541831E-2</v>
      </c>
      <c r="I48" s="224">
        <f>SUM(D48:INDEX(D48:H48,0,MATCH('RFPR cover'!$C$9,$D$6:$H$6,0)))</f>
        <v>0</v>
      </c>
      <c r="J48" s="224">
        <f t="shared" si="7"/>
        <v>0.20897048921988087</v>
      </c>
    </row>
    <row r="49" spans="1:11">
      <c r="B49" s="146" t="s">
        <v>728</v>
      </c>
      <c r="C49" s="75" t="s">
        <v>230</v>
      </c>
      <c r="D49" s="282">
        <v>0</v>
      </c>
      <c r="E49" s="282">
        <v>0</v>
      </c>
      <c r="F49" s="282">
        <v>0</v>
      </c>
      <c r="G49" s="282">
        <v>0</v>
      </c>
      <c r="H49" s="282">
        <v>0</v>
      </c>
      <c r="I49" s="224">
        <f>SUM(D49:INDEX(D49:H49,0,MATCH('RFPR cover'!$C$9,$D$6:$H$6,0)))</f>
        <v>0</v>
      </c>
      <c r="J49" s="224">
        <f t="shared" si="7"/>
        <v>0</v>
      </c>
    </row>
    <row r="50" spans="1:11">
      <c r="B50" s="146" t="s">
        <v>729</v>
      </c>
      <c r="C50" s="75" t="s">
        <v>230</v>
      </c>
      <c r="D50" s="282">
        <v>0</v>
      </c>
      <c r="E50" s="282">
        <v>0</v>
      </c>
      <c r="F50" s="282">
        <v>0</v>
      </c>
      <c r="G50" s="282">
        <v>0</v>
      </c>
      <c r="H50" s="282">
        <v>0</v>
      </c>
      <c r="I50" s="224">
        <f>SUM(D50:INDEX(D50:H50,0,MATCH('RFPR cover'!$C$9,$D$6:$H$6,0)))</f>
        <v>0</v>
      </c>
      <c r="J50" s="224">
        <f t="shared" si="7"/>
        <v>0</v>
      </c>
    </row>
    <row r="51" spans="1:11">
      <c r="B51" s="664" t="s">
        <v>726</v>
      </c>
      <c r="C51" s="75" t="s">
        <v>230</v>
      </c>
      <c r="D51" s="282">
        <v>0</v>
      </c>
      <c r="E51" s="282">
        <v>0</v>
      </c>
      <c r="F51" s="282">
        <v>0</v>
      </c>
      <c r="G51" s="282">
        <v>0</v>
      </c>
      <c r="H51" s="282">
        <v>0</v>
      </c>
      <c r="I51" s="224">
        <f>SUM(D51:INDEX(D51:H51,0,MATCH('RFPR cover'!$C$9,$D$6:$H$6,0)))</f>
        <v>0</v>
      </c>
      <c r="J51" s="224">
        <f t="shared" si="7"/>
        <v>0</v>
      </c>
    </row>
    <row r="52" spans="1:11">
      <c r="B52" s="664" t="s">
        <v>726</v>
      </c>
      <c r="C52" s="75" t="s">
        <v>230</v>
      </c>
      <c r="D52" s="282">
        <v>0</v>
      </c>
      <c r="E52" s="282">
        <v>0</v>
      </c>
      <c r="F52" s="282">
        <v>0</v>
      </c>
      <c r="G52" s="282">
        <v>0</v>
      </c>
      <c r="H52" s="282">
        <v>0</v>
      </c>
      <c r="I52" s="224">
        <f>SUM(D52:INDEX(D52:H52,0,MATCH('RFPR cover'!$C$9,$D$6:$H$6,0)))</f>
        <v>0</v>
      </c>
      <c r="J52" s="224">
        <f t="shared" si="7"/>
        <v>0</v>
      </c>
    </row>
    <row r="53" spans="1:11">
      <c r="B53" s="664" t="s">
        <v>726</v>
      </c>
      <c r="C53" s="75" t="s">
        <v>230</v>
      </c>
      <c r="D53" s="282">
        <v>0</v>
      </c>
      <c r="E53" s="282">
        <v>0</v>
      </c>
      <c r="F53" s="282">
        <v>0</v>
      </c>
      <c r="G53" s="282">
        <v>0</v>
      </c>
      <c r="H53" s="282">
        <v>0</v>
      </c>
      <c r="I53" s="224">
        <f>SUM(D53:INDEX(D53:H53,0,MATCH('RFPR cover'!$C$9,$D$6:$H$6,0)))</f>
        <v>0</v>
      </c>
      <c r="J53" s="224">
        <f t="shared" si="7"/>
        <v>0</v>
      </c>
    </row>
    <row r="54" spans="1:11">
      <c r="B54" s="664" t="s">
        <v>726</v>
      </c>
      <c r="C54" s="75" t="s">
        <v>230</v>
      </c>
      <c r="D54" s="282">
        <v>0</v>
      </c>
      <c r="E54" s="282">
        <v>0</v>
      </c>
      <c r="F54" s="282">
        <v>0</v>
      </c>
      <c r="G54" s="282">
        <v>0</v>
      </c>
      <c r="H54" s="282">
        <v>0</v>
      </c>
      <c r="I54" s="224">
        <f>SUM(D54:INDEX(D54:H54,0,MATCH('RFPR cover'!$C$9,$D$6:$H$6,0)))</f>
        <v>0</v>
      </c>
      <c r="J54" s="224">
        <f t="shared" si="7"/>
        <v>0</v>
      </c>
    </row>
    <row r="55" spans="1:11" s="25" customFormat="1">
      <c r="B55" s="273"/>
      <c r="C55" s="274"/>
      <c r="D55" s="591"/>
      <c r="E55" s="591"/>
      <c r="F55" s="591"/>
      <c r="G55" s="591"/>
      <c r="H55" s="591"/>
      <c r="I55" s="592"/>
      <c r="J55" s="592"/>
    </row>
    <row r="56" spans="1:11">
      <c r="B56" s="272" t="s">
        <v>423</v>
      </c>
      <c r="C56" s="109" t="s">
        <v>230</v>
      </c>
      <c r="D56" s="71">
        <f>SUM(D47:D54)</f>
        <v>4.5332836099999936</v>
      </c>
      <c r="E56" s="71">
        <f t="shared" ref="E56:H56" si="8">SUM(E47:E54)</f>
        <v>4.8596222062557333</v>
      </c>
      <c r="F56" s="71">
        <f t="shared" si="8"/>
        <v>5.0568865718352898</v>
      </c>
      <c r="G56" s="71">
        <f t="shared" si="8"/>
        <v>4.7818014302697884</v>
      </c>
      <c r="H56" s="71">
        <f t="shared" si="8"/>
        <v>4.0254300132471013</v>
      </c>
      <c r="I56" s="224">
        <f>SUM(D56:INDEX(D56:H56,0,MATCH('RFPR cover'!$C$9,$D$6:$H$6,0)))</f>
        <v>4.5332836099999936</v>
      </c>
      <c r="J56" s="225">
        <f>SUM(D56:H56)</f>
        <v>23.257023831607903</v>
      </c>
    </row>
    <row r="57" spans="1:11">
      <c r="B57" s="272" t="s">
        <v>423</v>
      </c>
      <c r="C57" s="77" t="str">
        <f>Data!$C$9</f>
        <v>£m 18/19</v>
      </c>
      <c r="D57" s="71">
        <f>D56/D42</f>
        <v>4.1789753288799982</v>
      </c>
      <c r="E57" s="71">
        <f t="shared" ref="E57:H57" si="9">E56/E42</f>
        <v>4.1598833613854316</v>
      </c>
      <c r="F57" s="71">
        <f t="shared" si="9"/>
        <v>4.1894423508552636</v>
      </c>
      <c r="G57" s="71">
        <f t="shared" si="9"/>
        <v>3.8955382768332116</v>
      </c>
      <c r="H57" s="71">
        <f t="shared" si="9"/>
        <v>3.2178765314252638</v>
      </c>
      <c r="I57" s="224">
        <f>SUM(D57:INDEX(D57:H57,0,MATCH('RFPR cover'!$C$9,$D$6:$H$6,0)))</f>
        <v>4.1789753288799982</v>
      </c>
      <c r="J57" s="225">
        <f>SUM(D57:H57)</f>
        <v>19.641715849379167</v>
      </c>
    </row>
    <row r="58" spans="1:11">
      <c r="B58" s="88"/>
      <c r="C58" s="38"/>
      <c r="D58" s="251"/>
      <c r="E58" s="251"/>
      <c r="F58" s="251"/>
      <c r="G58" s="251"/>
      <c r="H58" s="251"/>
      <c r="I58" s="257"/>
      <c r="J58" s="257"/>
    </row>
    <row r="59" spans="1:11" s="2" customFormat="1">
      <c r="A59" s="1"/>
    </row>
    <row r="60" spans="1:11" s="2" customFormat="1">
      <c r="A60" s="1"/>
      <c r="B60" s="258" t="s">
        <v>424</v>
      </c>
      <c r="C60" s="40"/>
      <c r="D60" s="40"/>
      <c r="E60" s="40"/>
      <c r="F60" s="40"/>
      <c r="G60" s="40"/>
      <c r="H60" s="40"/>
      <c r="I60" s="40"/>
      <c r="J60" s="40"/>
      <c r="K60" s="40"/>
    </row>
    <row r="61" spans="1:11" s="2" customFormat="1">
      <c r="A61" s="1"/>
      <c r="B61" s="145" t="s">
        <v>425</v>
      </c>
      <c r="C61" s="631"/>
      <c r="D61" s="631"/>
      <c r="E61" s="631"/>
      <c r="F61" s="631"/>
      <c r="G61" s="631"/>
      <c r="H61" s="631"/>
      <c r="I61" s="631"/>
      <c r="J61" s="631"/>
      <c r="K61" s="631"/>
    </row>
    <row r="62" spans="1:11" s="2" customFormat="1">
      <c r="A62" s="1"/>
    </row>
    <row r="63" spans="1:11">
      <c r="B63" s="88" t="s">
        <v>24</v>
      </c>
      <c r="C63" s="38" t="s">
        <v>194</v>
      </c>
      <c r="D63" s="284">
        <f>Data!$C$8</f>
        <v>0.6</v>
      </c>
      <c r="E63" s="285">
        <f>Data!$C$8</f>
        <v>0.6</v>
      </c>
      <c r="F63" s="285">
        <f>Data!$C$8</f>
        <v>0.6</v>
      </c>
      <c r="G63" s="285">
        <f>Data!$C$8</f>
        <v>0.6</v>
      </c>
      <c r="H63" s="285">
        <f>Data!$C$8</f>
        <v>0.6</v>
      </c>
      <c r="I63" s="2"/>
      <c r="K63" s="130"/>
    </row>
    <row r="64" spans="1:11">
      <c r="B64" s="88" t="s">
        <v>426</v>
      </c>
      <c r="C64" s="38" t="s">
        <v>194</v>
      </c>
      <c r="D64" s="285">
        <f>'R6 - Net Debt'!D65</f>
        <v>0.57153912568649412</v>
      </c>
      <c r="E64" s="285">
        <f>'R6 - Net Debt'!E65</f>
        <v>0.62631033358018595</v>
      </c>
      <c r="F64" s="285">
        <f>'R6 - Net Debt'!F65</f>
        <v>0.63444826374598939</v>
      </c>
      <c r="G64" s="285">
        <f>'R6 - Net Debt'!G65</f>
        <v>0.61605700341622494</v>
      </c>
      <c r="H64" s="285">
        <f>'R6 - Net Debt'!H65</f>
        <v>0.60229618595557288</v>
      </c>
      <c r="I64" s="2" t="s">
        <v>427</v>
      </c>
      <c r="K64" s="130"/>
    </row>
    <row r="65" spans="2:12">
      <c r="B65" s="88"/>
      <c r="C65" s="38"/>
      <c r="D65" s="38"/>
      <c r="E65" s="38"/>
      <c r="F65" s="38"/>
      <c r="G65" s="38"/>
      <c r="H65" s="38"/>
      <c r="I65" s="2"/>
      <c r="K65" s="130"/>
    </row>
    <row r="66" spans="2:12">
      <c r="B66" s="88" t="s">
        <v>420</v>
      </c>
      <c r="C66" s="75" t="s">
        <v>230</v>
      </c>
      <c r="D66" s="46">
        <f t="shared" ref="D66:H66" si="10">D40</f>
        <v>5.6086053621365579</v>
      </c>
      <c r="E66" s="47">
        <f t="shared" si="10"/>
        <v>-33.753427781609133</v>
      </c>
      <c r="F66" s="47">
        <f t="shared" si="10"/>
        <v>11.037562200373301</v>
      </c>
      <c r="G66" s="47">
        <f t="shared" si="10"/>
        <v>19.517558295216809</v>
      </c>
      <c r="H66" s="47">
        <f t="shared" si="10"/>
        <v>17.1808893432815</v>
      </c>
    </row>
    <row r="67" spans="2:12">
      <c r="B67" s="88" t="s">
        <v>428</v>
      </c>
      <c r="C67" s="75" t="s">
        <v>230</v>
      </c>
      <c r="D67" s="46">
        <f>((D63-D64)/D64)*D66</f>
        <v>0.27929113705748815</v>
      </c>
      <c r="E67" s="46">
        <f t="shared" ref="E67:H67" si="11">((E63-E64)/E64)*E66</f>
        <v>1.4179295738781788</v>
      </c>
      <c r="F67" s="46">
        <f t="shared" si="11"/>
        <v>-0.59930001470293459</v>
      </c>
      <c r="G67" s="46">
        <f t="shared" si="11"/>
        <v>-0.5087086072957584</v>
      </c>
      <c r="H67" s="46">
        <f t="shared" si="11"/>
        <v>-6.5500193649250749E-2</v>
      </c>
      <c r="K67" s="130"/>
    </row>
    <row r="68" spans="2:12">
      <c r="B68" s="88" t="s">
        <v>429</v>
      </c>
      <c r="C68" s="75" t="s">
        <v>230</v>
      </c>
      <c r="D68" s="50">
        <f>SUM(D66:D67)</f>
        <v>5.8878964991940457</v>
      </c>
      <c r="E68" s="51">
        <f t="shared" ref="E68:H68" si="12">SUM(E66:E67)</f>
        <v>-32.335498207730957</v>
      </c>
      <c r="F68" s="51">
        <f t="shared" si="12"/>
        <v>10.438262185670366</v>
      </c>
      <c r="G68" s="51">
        <f t="shared" si="12"/>
        <v>19.00884968792105</v>
      </c>
      <c r="H68" s="51">
        <f t="shared" si="12"/>
        <v>17.11538914963225</v>
      </c>
    </row>
    <row r="69" spans="2:12">
      <c r="B69" s="88"/>
      <c r="C69" s="75"/>
      <c r="D69" s="75"/>
      <c r="E69" s="75"/>
      <c r="F69" s="75"/>
      <c r="G69" s="75"/>
      <c r="H69" s="75"/>
      <c r="I69" s="75"/>
      <c r="J69" s="75"/>
      <c r="K69" s="75"/>
      <c r="L69" s="75"/>
    </row>
    <row r="70" spans="2:12">
      <c r="B70" s="243" t="s">
        <v>429</v>
      </c>
      <c r="C70" s="77" t="str">
        <f>Data!$C$9</f>
        <v>£m 18/19</v>
      </c>
      <c r="D70" s="71">
        <f t="shared" ref="D70:H70" si="13">D68/D42</f>
        <v>5.4277156088036733</v>
      </c>
      <c r="E70" s="72">
        <f t="shared" si="13"/>
        <v>-27.679497555034814</v>
      </c>
      <c r="F70" s="72">
        <f t="shared" si="13"/>
        <v>8.6477117983105956</v>
      </c>
      <c r="G70" s="72">
        <f t="shared" si="13"/>
        <v>15.485733282255433</v>
      </c>
      <c r="H70" s="72">
        <f t="shared" si="13"/>
        <v>13.68182005141507</v>
      </c>
      <c r="I70" s="224">
        <f>SUM(D70:INDEX(D70:H70,0,MATCH('RFPR cover'!$C$9,$D$6:$H$6,0)))</f>
        <v>5.4277156088036733</v>
      </c>
      <c r="J70" s="225">
        <f>SUM(D70:H70)</f>
        <v>15.563483185749957</v>
      </c>
    </row>
    <row r="71" spans="2:12">
      <c r="B71" s="88" t="s">
        <v>430</v>
      </c>
      <c r="C71" s="38" t="str">
        <f>Data!$C$9</f>
        <v>£m 18/19</v>
      </c>
      <c r="D71" s="46">
        <f>D57*((D63-D64)/D64)+D57</f>
        <v>4.3870753280736423</v>
      </c>
      <c r="E71" s="46">
        <f t="shared" ref="E71:H71" si="14">E57*((E63-E64)/E64)+E57</f>
        <v>3.9851330610557572</v>
      </c>
      <c r="F71" s="46">
        <f t="shared" si="14"/>
        <v>3.9619706667201799</v>
      </c>
      <c r="G71" s="46">
        <f t="shared" si="14"/>
        <v>3.794004374820438</v>
      </c>
      <c r="H71" s="46">
        <f t="shared" si="14"/>
        <v>3.2056087418052721</v>
      </c>
      <c r="I71" s="222">
        <f>SUM(D71:INDEX(D71:H71,0,MATCH('RFPR cover'!$C$9,$D$6:$H$6,0)))</f>
        <v>4.3870753280736423</v>
      </c>
      <c r="J71" s="223">
        <f>SUM(D71:H71)</f>
        <v>19.333792172475288</v>
      </c>
      <c r="K71" s="38"/>
    </row>
    <row r="73" spans="2:12">
      <c r="B73" s="254" t="s">
        <v>431</v>
      </c>
      <c r="C73" s="255"/>
      <c r="D73" s="255"/>
      <c r="E73" s="255"/>
      <c r="F73" s="255"/>
      <c r="G73" s="255"/>
      <c r="H73" s="255"/>
      <c r="I73" s="255"/>
      <c r="J73" s="255"/>
      <c r="K73" s="255"/>
      <c r="L73" s="38"/>
    </row>
    <row r="74" spans="2:12">
      <c r="B74" s="256"/>
      <c r="C74" s="38"/>
      <c r="D74" s="38"/>
      <c r="E74" s="38"/>
      <c r="F74" s="38"/>
      <c r="G74" s="38"/>
      <c r="H74" s="38"/>
      <c r="I74" s="38"/>
      <c r="J74" s="38"/>
      <c r="K74" s="38"/>
      <c r="L74" s="38"/>
    </row>
    <row r="75" spans="2:12">
      <c r="B75" s="145" t="s">
        <v>432</v>
      </c>
      <c r="C75" s="144"/>
      <c r="D75" s="144"/>
      <c r="E75" s="144"/>
      <c r="F75" s="144"/>
      <c r="G75" s="144"/>
      <c r="H75" s="144"/>
      <c r="I75" s="144"/>
      <c r="J75" s="144"/>
      <c r="K75" s="144"/>
      <c r="L75" s="38"/>
    </row>
    <row r="76" spans="2:12">
      <c r="B76" s="148"/>
      <c r="C76" s="148"/>
      <c r="D76" s="148"/>
      <c r="E76" s="148"/>
      <c r="F76" s="148"/>
      <c r="G76" s="148"/>
      <c r="H76" s="148"/>
      <c r="I76" s="148"/>
      <c r="J76" s="148"/>
      <c r="K76" s="148"/>
      <c r="L76" s="38"/>
    </row>
    <row r="77" spans="2:12">
      <c r="B77" s="88" t="s">
        <v>433</v>
      </c>
      <c r="C77" s="38" t="str">
        <f>Data!$C$9</f>
        <v>£m 18/19</v>
      </c>
      <c r="D77" s="638">
        <v>28.192075052518938</v>
      </c>
      <c r="E77" s="638">
        <v>26.51714309568591</v>
      </c>
      <c r="F77" s="638">
        <v>25.776754113070435</v>
      </c>
      <c r="G77" s="638">
        <v>25.193256006230712</v>
      </c>
      <c r="H77" s="638">
        <v>24.745038005829162</v>
      </c>
      <c r="I77" s="148"/>
      <c r="J77" s="289"/>
      <c r="L77" s="38"/>
    </row>
    <row r="78" spans="2:12">
      <c r="B78" s="88"/>
      <c r="C78" s="38"/>
      <c r="D78" s="259"/>
      <c r="E78" s="259"/>
      <c r="F78" s="259"/>
      <c r="G78" s="259"/>
      <c r="H78" s="259"/>
      <c r="I78" s="148"/>
      <c r="J78" s="257"/>
      <c r="L78" s="38"/>
    </row>
    <row r="79" spans="2:12">
      <c r="B79" s="88"/>
      <c r="C79" s="38"/>
      <c r="D79" s="259"/>
      <c r="E79" s="260"/>
      <c r="F79" s="260"/>
      <c r="G79" s="260"/>
      <c r="H79" s="260"/>
      <c r="I79" s="257"/>
      <c r="J79" s="257"/>
      <c r="L79" s="38"/>
    </row>
    <row r="80" spans="2:12">
      <c r="B80" s="261" t="s">
        <v>434</v>
      </c>
      <c r="C80" s="255"/>
      <c r="D80" s="255"/>
      <c r="E80" s="255"/>
      <c r="F80" s="255"/>
      <c r="G80" s="255"/>
      <c r="H80" s="255"/>
      <c r="I80" s="255"/>
      <c r="J80" s="255"/>
      <c r="K80" s="255"/>
    </row>
    <row r="81" spans="2:11">
      <c r="B81" s="88"/>
      <c r="C81" s="38"/>
      <c r="D81" s="38"/>
      <c r="E81" s="38"/>
      <c r="F81" s="38"/>
      <c r="G81" s="38"/>
      <c r="H81" s="38"/>
      <c r="I81" s="38"/>
      <c r="J81" s="38"/>
      <c r="K81" s="38"/>
    </row>
    <row r="82" spans="2:11">
      <c r="B82" s="8" t="s">
        <v>435</v>
      </c>
      <c r="C82" s="38"/>
      <c r="D82" s="38"/>
      <c r="E82" s="38"/>
      <c r="F82" s="38"/>
      <c r="G82" s="38"/>
      <c r="H82" s="38"/>
      <c r="I82" s="38"/>
      <c r="J82" s="38"/>
      <c r="K82" s="38"/>
    </row>
    <row r="83" spans="2:11">
      <c r="B83" s="88" t="s">
        <v>436</v>
      </c>
      <c r="C83" s="38" t="str">
        <f>Data!$C$9</f>
        <v>£m 18/19</v>
      </c>
      <c r="D83" s="71">
        <f>D77-D44-D57</f>
        <v>18.842846667754621</v>
      </c>
      <c r="E83" s="71">
        <f>E77-E44-E57</f>
        <v>51.250518646010136</v>
      </c>
      <c r="F83" s="71">
        <f>F77-F44-F57</f>
        <v>12.443102202525399</v>
      </c>
      <c r="G83" s="71">
        <f>G77-G44-G57</f>
        <v>5.3975603267821937</v>
      </c>
      <c r="H83" s="71">
        <f>H77-H44-H57</f>
        <v>7.7929814179076047</v>
      </c>
      <c r="I83" s="224">
        <f>SUM(D83:INDEX(D83:H83,0,MATCH('RFPR cover'!$C$9,$D$6:$H$6,0)))</f>
        <v>18.842846667754621</v>
      </c>
      <c r="J83" s="225">
        <f>SUM(D83:H83)</f>
        <v>95.727009260979969</v>
      </c>
      <c r="K83" s="38"/>
    </row>
    <row r="84" spans="2:11">
      <c r="B84" s="88"/>
      <c r="K84" s="38"/>
    </row>
    <row r="85" spans="2:11">
      <c r="B85" s="88" t="s">
        <v>437</v>
      </c>
      <c r="C85" s="38" t="str">
        <f>Data!$C$9</f>
        <v>£m 18/19</v>
      </c>
      <c r="D85" s="71">
        <f>D77-D70-D71</f>
        <v>18.377284115641622</v>
      </c>
      <c r="E85" s="882">
        <f>E77-E70-E71</f>
        <v>50.211507589664969</v>
      </c>
      <c r="F85" s="882">
        <f>F77-F70-F71</f>
        <v>13.167071648039659</v>
      </c>
      <c r="G85" s="882">
        <f>G77-G70-G71</f>
        <v>5.9135183491548409</v>
      </c>
      <c r="H85" s="882">
        <f>H77-H70-H71</f>
        <v>7.8576092126088204</v>
      </c>
      <c r="I85" s="224">
        <f>SUM(D85:INDEX(D85:H85,0,MATCH('RFPR cover'!$C$9,$D$6:$H$6,0)))</f>
        <v>18.377284115641622</v>
      </c>
      <c r="J85" s="225">
        <f>SUM(D85:H85)</f>
        <v>95.52699091510992</v>
      </c>
      <c r="K85" s="38"/>
    </row>
    <row r="86" spans="2:11">
      <c r="B86" s="88"/>
      <c r="E86" s="96"/>
      <c r="F86" s="96"/>
      <c r="G86" s="96"/>
      <c r="H86" s="96"/>
      <c r="K86" s="38"/>
    </row>
    <row r="87" spans="2:11">
      <c r="B87" s="88" t="s">
        <v>438</v>
      </c>
      <c r="C87" s="38" t="str">
        <f>Data!$C$9</f>
        <v>£m 18/19</v>
      </c>
      <c r="D87" s="71">
        <f>D83-D85</f>
        <v>0.46556255211299913</v>
      </c>
      <c r="E87" s="71">
        <f t="shared" ref="E87:H87" si="15">E83-E85</f>
        <v>1.0390110563451671</v>
      </c>
      <c r="F87" s="71">
        <f t="shared" si="15"/>
        <v>-0.72396944551426046</v>
      </c>
      <c r="G87" s="71">
        <f t="shared" si="15"/>
        <v>-0.51595802237264721</v>
      </c>
      <c r="H87" s="71">
        <f t="shared" si="15"/>
        <v>-6.4627794701215713E-2</v>
      </c>
      <c r="I87" s="224">
        <f>SUM(D87:INDEX(D87:H87,0,MATCH('RFPR cover'!$C$9,$D$6:$H$6,0)))</f>
        <v>0.46556255211299913</v>
      </c>
      <c r="J87" s="225">
        <f>SUM(D87:H87)</f>
        <v>0.20001834587004286</v>
      </c>
      <c r="K87" s="38"/>
    </row>
    <row r="88" spans="2:11">
      <c r="K88" s="38"/>
    </row>
    <row r="89" spans="2:11">
      <c r="K89" s="38"/>
    </row>
    <row r="90" spans="2:11">
      <c r="K90" s="38"/>
    </row>
    <row r="91" spans="2:11">
      <c r="K91" s="38"/>
    </row>
  </sheetData>
  <conditionalFormatting sqref="D48">
    <cfRule type="expression" dxfId="47" priority="4">
      <formula>C$12="N/A"</formula>
    </cfRule>
  </conditionalFormatting>
  <conditionalFormatting sqref="D48">
    <cfRule type="expression" dxfId="46" priority="3">
      <formula>D$5="Forecast"</formula>
    </cfRule>
  </conditionalFormatting>
  <conditionalFormatting sqref="D30">
    <cfRule type="expression" dxfId="45" priority="2">
      <formula>C$12="N/A"</formula>
    </cfRule>
  </conditionalFormatting>
  <conditionalFormatting sqref="D30">
    <cfRule type="expression" dxfId="44" priority="1">
      <formula>D$5="Forecast"</formula>
    </cfRule>
  </conditionalFormatting>
  <pageMargins left="0.70866141732283472" right="0.70866141732283472" top="0.74803149606299213" bottom="0.74803149606299213" header="0.31496062992125984" footer="0.31496062992125984"/>
  <pageSetup paperSize="8"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rgb="FFFFFFCC"/>
    <pageSetUpPr fitToPage="1"/>
  </sheetPr>
  <dimension ref="A1:K67"/>
  <sheetViews>
    <sheetView showGridLines="0" zoomScale="80" zoomScaleNormal="80" workbookViewId="0">
      <pane ySplit="7" topLeftCell="A25" activePane="bottomLeft" state="frozen"/>
      <selection activeCell="B9" sqref="B9"/>
      <selection pane="bottomLeft" activeCell="E46" sqref="E46"/>
    </sheetView>
  </sheetViews>
  <sheetFormatPr defaultRowHeight="12.4"/>
  <cols>
    <col min="1" max="1" width="8.3515625" customWidth="1"/>
    <col min="2" max="2" width="85.76171875" bestFit="1" customWidth="1"/>
    <col min="3" max="3" width="14.1171875" customWidth="1"/>
    <col min="4" max="8" width="11.1171875" customWidth="1"/>
    <col min="9" max="9" width="5" customWidth="1"/>
    <col min="10" max="10" width="12.87890625" customWidth="1"/>
  </cols>
  <sheetData>
    <row r="1" spans="1:9" ht="20.65">
      <c r="A1" s="777" t="s">
        <v>179</v>
      </c>
      <c r="B1" s="397"/>
      <c r="C1" s="398"/>
      <c r="D1" s="398"/>
      <c r="E1" s="398"/>
      <c r="F1" s="398"/>
      <c r="G1" s="398"/>
      <c r="H1" s="398"/>
      <c r="I1" s="786"/>
    </row>
    <row r="2" spans="1:9" ht="20.65">
      <c r="A2" s="295" t="str">
        <f>Licensee</f>
        <v>Cadent-NW</v>
      </c>
      <c r="B2" s="290"/>
      <c r="C2" s="16"/>
      <c r="D2" s="16"/>
      <c r="E2" s="16"/>
      <c r="F2" s="16"/>
      <c r="G2" s="16"/>
      <c r="H2" s="16"/>
      <c r="I2" s="65"/>
    </row>
    <row r="3" spans="1:9" ht="20.65">
      <c r="A3" s="290">
        <f>Reporting_Year</f>
        <v>2022</v>
      </c>
      <c r="B3" s="589" t="str">
        <f>'R5 - Financing'!B3</f>
        <v/>
      </c>
      <c r="C3" s="577"/>
      <c r="D3" s="577"/>
      <c r="E3" s="577"/>
      <c r="F3" s="577"/>
      <c r="G3" s="577"/>
      <c r="H3" s="577"/>
      <c r="I3" s="119"/>
    </row>
    <row r="4" spans="1:9" ht="12.75" customHeight="1">
      <c r="A4" s="22"/>
      <c r="B4" s="22"/>
      <c r="C4" s="22"/>
      <c r="D4" s="22"/>
      <c r="E4" s="22"/>
      <c r="F4" s="22"/>
      <c r="G4" s="22"/>
      <c r="H4" s="22"/>
      <c r="I4" s="19"/>
    </row>
    <row r="5" spans="1:9" s="2" customFormat="1">
      <c r="B5" s="3"/>
      <c r="C5" s="3"/>
      <c r="D5" s="153" t="str">
        <f t="shared" ref="D5:H5" si="0">IF(D6&lt;=Reporting_Year,"Actuals","Forecast")</f>
        <v>Actuals</v>
      </c>
      <c r="E5" s="153" t="str">
        <f t="shared" si="0"/>
        <v>Forecast</v>
      </c>
      <c r="F5" s="153" t="str">
        <f t="shared" si="0"/>
        <v>Forecast</v>
      </c>
      <c r="G5" s="153" t="str">
        <f t="shared" si="0"/>
        <v>Forecast</v>
      </c>
      <c r="H5" s="153" t="str">
        <f t="shared" si="0"/>
        <v>Forecast</v>
      </c>
    </row>
    <row r="6" spans="1:9" s="2" customFormat="1">
      <c r="D6" s="62">
        <f>'RFPR cover'!$C$6</f>
        <v>2022</v>
      </c>
      <c r="E6" s="63">
        <f>D6+1</f>
        <v>2023</v>
      </c>
      <c r="F6" s="63">
        <f t="shared" ref="F6:H6" si="1">E6+1</f>
        <v>2024</v>
      </c>
      <c r="G6" s="63">
        <f t="shared" si="1"/>
        <v>2025</v>
      </c>
      <c r="H6" s="63">
        <f t="shared" si="1"/>
        <v>2026</v>
      </c>
    </row>
    <row r="7" spans="1:9" s="2" customFormat="1">
      <c r="D7" s="62" t="str">
        <f>RIIO_2_start_date-1&amp;"/"&amp;RIGHT(RIIO_2_start_date,2)</f>
        <v>2021/22</v>
      </c>
      <c r="E7" s="62" t="str">
        <f>RIIO_2_start_date&amp;"/"&amp;RIGHT(RIIO_2_start_date+1,2)</f>
        <v>2022/23</v>
      </c>
      <c r="F7" s="62" t="str">
        <f>RIIO_2_start_date+1&amp;"/"&amp;RIGHT(RIIO_2_start_date+2,2)</f>
        <v>2023/24</v>
      </c>
      <c r="G7" s="62" t="str">
        <f>RIIO_2_start_date+2&amp;"/"&amp;RIGHT(RIIO_2_start_date+3,2)</f>
        <v>2024/25</v>
      </c>
      <c r="H7" s="422" t="str">
        <f>RIIO_2_start_date+3&amp;"/"&amp;RIGHT(RIIO_2_start_date+4,2)</f>
        <v>2025/26</v>
      </c>
    </row>
    <row r="8" spans="1:9" s="2" customFormat="1"/>
    <row r="9" spans="1:9" s="2" customFormat="1">
      <c r="B9" s="88" t="s">
        <v>442</v>
      </c>
      <c r="C9" s="75" t="s">
        <v>230</v>
      </c>
      <c r="D9" s="593">
        <v>-257.707345971564</v>
      </c>
      <c r="E9" s="639">
        <v>-92</v>
      </c>
      <c r="F9" s="639">
        <v>-60</v>
      </c>
      <c r="G9" s="639">
        <v>-60</v>
      </c>
      <c r="H9" s="639">
        <v>-60</v>
      </c>
    </row>
    <row r="10" spans="1:9" s="2" customFormat="1">
      <c r="B10" s="88"/>
    </row>
    <row r="11" spans="1:9">
      <c r="B11" s="88" t="s">
        <v>443</v>
      </c>
      <c r="C11" s="75" t="s">
        <v>230</v>
      </c>
      <c r="D11" s="226">
        <v>-92</v>
      </c>
      <c r="E11" s="227">
        <v>-60</v>
      </c>
      <c r="F11" s="227">
        <v>-60</v>
      </c>
      <c r="G11" s="227">
        <v>-60</v>
      </c>
      <c r="H11" s="227">
        <v>-60</v>
      </c>
    </row>
    <row r="12" spans="1:9">
      <c r="B12" s="88" t="s">
        <v>444</v>
      </c>
      <c r="C12" s="75" t="s">
        <v>230</v>
      </c>
      <c r="D12" s="228">
        <v>6926.6655402777124</v>
      </c>
      <c r="E12" s="229">
        <v>7125.8743694017794</v>
      </c>
      <c r="F12" s="229">
        <v>7055.2214356140075</v>
      </c>
      <c r="G12" s="229">
        <v>5923.5721871313517</v>
      </c>
      <c r="H12" s="229">
        <v>5931.1916299984878</v>
      </c>
    </row>
    <row r="13" spans="1:9">
      <c r="B13" s="88" t="s">
        <v>445</v>
      </c>
      <c r="C13" s="75" t="s">
        <v>230</v>
      </c>
      <c r="D13" s="228">
        <v>0</v>
      </c>
      <c r="E13" s="229">
        <v>0</v>
      </c>
      <c r="F13" s="229">
        <v>0</v>
      </c>
      <c r="G13" s="229">
        <v>0</v>
      </c>
      <c r="H13" s="229">
        <v>0</v>
      </c>
    </row>
    <row r="14" spans="1:9">
      <c r="B14" s="88" t="s">
        <v>446</v>
      </c>
      <c r="C14" s="75" t="s">
        <v>230</v>
      </c>
      <c r="D14" s="228">
        <v>0</v>
      </c>
      <c r="E14" s="229">
        <v>0</v>
      </c>
      <c r="F14" s="229">
        <v>0</v>
      </c>
      <c r="G14" s="229">
        <v>0</v>
      </c>
      <c r="H14" s="229">
        <v>0</v>
      </c>
    </row>
    <row r="15" spans="1:9">
      <c r="B15" s="88" t="s">
        <v>447</v>
      </c>
      <c r="C15" s="75" t="s">
        <v>230</v>
      </c>
      <c r="D15" s="228">
        <v>0</v>
      </c>
      <c r="E15" s="229">
        <v>0</v>
      </c>
      <c r="F15" s="229">
        <v>0</v>
      </c>
      <c r="G15" s="229">
        <v>0</v>
      </c>
      <c r="H15" s="229">
        <v>0</v>
      </c>
    </row>
    <row r="16" spans="1:9">
      <c r="B16" s="88" t="s">
        <v>448</v>
      </c>
      <c r="C16" s="75" t="s">
        <v>230</v>
      </c>
      <c r="D16" s="228">
        <v>118.31087572122414</v>
      </c>
      <c r="E16" s="229">
        <v>42.342801250000001</v>
      </c>
      <c r="F16" s="229">
        <v>42.342801250000001</v>
      </c>
      <c r="G16" s="229">
        <v>42.342801250000001</v>
      </c>
      <c r="H16" s="229">
        <v>42.342801250000001</v>
      </c>
    </row>
    <row r="17" spans="2:10">
      <c r="B17" s="88" t="s">
        <v>449</v>
      </c>
      <c r="C17" s="75" t="s">
        <v>230</v>
      </c>
      <c r="D17" s="228">
        <v>49.598232132264926</v>
      </c>
      <c r="E17" s="229">
        <v>0</v>
      </c>
      <c r="F17" s="229">
        <v>0</v>
      </c>
      <c r="G17" s="229">
        <v>0</v>
      </c>
      <c r="H17" s="229">
        <v>0</v>
      </c>
    </row>
    <row r="18" spans="2:10">
      <c r="B18" s="88" t="s">
        <v>450</v>
      </c>
      <c r="C18" s="75" t="s">
        <v>230</v>
      </c>
      <c r="D18" s="228">
        <v>0</v>
      </c>
      <c r="E18" s="229">
        <v>0</v>
      </c>
      <c r="F18" s="229">
        <v>0</v>
      </c>
      <c r="G18" s="229">
        <v>0</v>
      </c>
      <c r="H18" s="229">
        <v>0</v>
      </c>
    </row>
    <row r="19" spans="2:10">
      <c r="B19" s="88" t="s">
        <v>451</v>
      </c>
      <c r="C19" s="75" t="s">
        <v>230</v>
      </c>
      <c r="D19" s="228">
        <v>212.37004729638787</v>
      </c>
      <c r="E19" s="229">
        <v>0</v>
      </c>
      <c r="F19" s="229">
        <v>0</v>
      </c>
      <c r="G19" s="229">
        <v>0</v>
      </c>
      <c r="H19" s="229">
        <v>0</v>
      </c>
    </row>
    <row r="20" spans="2:10">
      <c r="B20" s="88" t="s">
        <v>452</v>
      </c>
      <c r="C20" s="75" t="s">
        <v>230</v>
      </c>
      <c r="D20" s="228">
        <v>0</v>
      </c>
      <c r="E20" s="229">
        <v>0</v>
      </c>
      <c r="F20" s="229">
        <v>0</v>
      </c>
      <c r="G20" s="229">
        <v>0</v>
      </c>
      <c r="H20" s="229">
        <v>0</v>
      </c>
    </row>
    <row r="21" spans="2:10">
      <c r="B21" s="88" t="s">
        <v>453</v>
      </c>
      <c r="C21" s="75" t="s">
        <v>230</v>
      </c>
      <c r="D21" s="228">
        <v>3.2839130000000001E-2</v>
      </c>
      <c r="E21" s="229">
        <v>0</v>
      </c>
      <c r="F21" s="229">
        <v>0</v>
      </c>
      <c r="G21" s="229">
        <v>0</v>
      </c>
      <c r="H21" s="229">
        <v>0</v>
      </c>
    </row>
    <row r="22" spans="2:10">
      <c r="B22" s="88" t="s">
        <v>454</v>
      </c>
      <c r="C22" s="75" t="s">
        <v>230</v>
      </c>
      <c r="D22" s="228">
        <v>-1.0498970000000001</v>
      </c>
      <c r="E22" s="229">
        <v>0</v>
      </c>
      <c r="F22" s="229">
        <v>0</v>
      </c>
      <c r="G22" s="229">
        <v>0</v>
      </c>
      <c r="H22" s="229">
        <v>0</v>
      </c>
    </row>
    <row r="23" spans="2:10">
      <c r="B23" s="88" t="s">
        <v>455</v>
      </c>
      <c r="C23" s="75" t="s">
        <v>230</v>
      </c>
      <c r="D23" s="228">
        <v>0</v>
      </c>
      <c r="E23" s="229">
        <v>0</v>
      </c>
      <c r="F23" s="229">
        <v>0</v>
      </c>
      <c r="G23" s="229">
        <v>0</v>
      </c>
      <c r="H23" s="229">
        <v>0</v>
      </c>
    </row>
    <row r="24" spans="2:10">
      <c r="B24" s="6" t="s">
        <v>456</v>
      </c>
      <c r="C24" s="109" t="s">
        <v>230</v>
      </c>
      <c r="D24" s="230">
        <f>SUM(D11:D23)</f>
        <v>7213.9276375575901</v>
      </c>
      <c r="E24" s="230">
        <f t="shared" ref="E24:H24" si="2">SUM(E11:E23)</f>
        <v>7108.2171706517793</v>
      </c>
      <c r="F24" s="230">
        <f t="shared" si="2"/>
        <v>7037.5642368640074</v>
      </c>
      <c r="G24" s="230">
        <f t="shared" si="2"/>
        <v>5905.9149883813516</v>
      </c>
      <c r="H24" s="230">
        <f t="shared" si="2"/>
        <v>5913.5344312484876</v>
      </c>
      <c r="I24" s="2"/>
      <c r="J24" s="123"/>
    </row>
    <row r="25" spans="2:10">
      <c r="B25" s="6"/>
      <c r="C25" s="75"/>
      <c r="D25" s="112"/>
      <c r="E25" s="112"/>
      <c r="F25" s="112"/>
      <c r="G25" s="112"/>
      <c r="H25" s="112"/>
      <c r="I25" s="2"/>
      <c r="J25" s="2"/>
    </row>
    <row r="26" spans="2:10">
      <c r="B26" s="6" t="s">
        <v>457</v>
      </c>
      <c r="C26" s="8"/>
      <c r="D26" s="113"/>
      <c r="E26" s="113"/>
      <c r="F26" s="113"/>
      <c r="G26" s="113"/>
      <c r="H26" s="113"/>
      <c r="I26" s="2"/>
      <c r="J26" s="2"/>
    </row>
    <row r="27" spans="2:10">
      <c r="B27" s="146" t="s">
        <v>474</v>
      </c>
      <c r="C27" s="75" t="s">
        <v>230</v>
      </c>
      <c r="D27" s="140">
        <v>14.584858929999999</v>
      </c>
      <c r="E27" s="140">
        <v>-11.765850908497875</v>
      </c>
      <c r="F27" s="140">
        <v>-10.550220879035271</v>
      </c>
      <c r="G27" s="140">
        <v>-9.4250060535101792</v>
      </c>
      <c r="H27" s="140">
        <v>-8.3873635758193359</v>
      </c>
      <c r="I27" s="2"/>
      <c r="J27" s="2"/>
    </row>
    <row r="28" spans="2:10">
      <c r="B28" s="146" t="s">
        <v>475</v>
      </c>
      <c r="C28" s="75" t="s">
        <v>230</v>
      </c>
      <c r="D28" s="140">
        <v>0</v>
      </c>
      <c r="E28" s="149">
        <v>0</v>
      </c>
      <c r="F28" s="149">
        <v>0</v>
      </c>
      <c r="G28" s="149">
        <v>0</v>
      </c>
      <c r="H28" s="149">
        <v>0</v>
      </c>
      <c r="I28" s="2"/>
      <c r="J28" s="2"/>
    </row>
    <row r="29" spans="2:10">
      <c r="B29" s="146" t="s">
        <v>476</v>
      </c>
      <c r="C29" s="75" t="s">
        <v>230</v>
      </c>
      <c r="D29" s="140">
        <v>0</v>
      </c>
      <c r="E29" s="149">
        <v>0</v>
      </c>
      <c r="F29" s="149">
        <v>0</v>
      </c>
      <c r="G29" s="149">
        <v>0</v>
      </c>
      <c r="H29" s="149">
        <v>0</v>
      </c>
      <c r="I29" s="2"/>
      <c r="J29" s="2"/>
    </row>
    <row r="30" spans="2:10">
      <c r="B30" s="146" t="s">
        <v>477</v>
      </c>
      <c r="C30" s="75" t="s">
        <v>230</v>
      </c>
      <c r="D30" s="140">
        <v>0</v>
      </c>
      <c r="E30" s="149">
        <v>0</v>
      </c>
      <c r="F30" s="149">
        <v>0</v>
      </c>
      <c r="G30" s="149">
        <v>0</v>
      </c>
      <c r="H30" s="149">
        <v>0</v>
      </c>
      <c r="I30" s="2"/>
      <c r="J30" s="2"/>
    </row>
    <row r="31" spans="2:10">
      <c r="B31" s="146" t="s">
        <v>478</v>
      </c>
      <c r="C31" s="75" t="s">
        <v>230</v>
      </c>
      <c r="D31" s="140">
        <v>22.404302035568072</v>
      </c>
      <c r="E31" s="149">
        <v>0</v>
      </c>
      <c r="F31" s="149">
        <v>0</v>
      </c>
      <c r="G31" s="149">
        <v>0</v>
      </c>
      <c r="H31" s="149">
        <v>0</v>
      </c>
      <c r="I31" s="2"/>
      <c r="J31" s="2"/>
    </row>
    <row r="32" spans="2:10">
      <c r="B32" s="146" t="s">
        <v>479</v>
      </c>
      <c r="C32" s="75" t="s">
        <v>230</v>
      </c>
      <c r="D32" s="140">
        <v>-259.41074457999997</v>
      </c>
      <c r="E32" s="149">
        <v>-251.19207253677206</v>
      </c>
      <c r="F32" s="149">
        <v>-238.68304118121674</v>
      </c>
      <c r="G32" s="149">
        <v>-236.37756616922883</v>
      </c>
      <c r="H32" s="149">
        <v>-234.92019262764376</v>
      </c>
      <c r="I32" s="2"/>
      <c r="J32" s="2"/>
    </row>
    <row r="33" spans="2:11" ht="12.75" customHeight="1">
      <c r="B33" s="146" t="s">
        <v>473</v>
      </c>
      <c r="C33" s="75" t="s">
        <v>230</v>
      </c>
      <c r="D33" s="140">
        <v>-42.342801250000001</v>
      </c>
      <c r="E33" s="149">
        <v>-42.342801250000001</v>
      </c>
      <c r="F33" s="149">
        <v>-42.342801250000001</v>
      </c>
      <c r="G33" s="149">
        <v>-42.342801250000001</v>
      </c>
      <c r="H33" s="149">
        <v>-42.342801250000001</v>
      </c>
      <c r="I33" s="2"/>
      <c r="J33" s="2"/>
    </row>
    <row r="34" spans="2:11">
      <c r="B34" s="146" t="s">
        <v>480</v>
      </c>
      <c r="C34" s="75" t="s">
        <v>230</v>
      </c>
      <c r="D34" s="140">
        <v>-212.37004729638787</v>
      </c>
      <c r="E34" s="149">
        <v>0</v>
      </c>
      <c r="F34" s="149">
        <v>0</v>
      </c>
      <c r="G34" s="149">
        <v>0</v>
      </c>
      <c r="H34" s="149">
        <v>0</v>
      </c>
      <c r="I34" s="2"/>
      <c r="J34" s="2"/>
    </row>
    <row r="35" spans="2:11">
      <c r="B35" s="146" t="s">
        <v>481</v>
      </c>
      <c r="C35" s="75" t="s">
        <v>230</v>
      </c>
      <c r="D35" s="140">
        <v>126.26711447</v>
      </c>
      <c r="E35" s="149">
        <v>248.78923442657765</v>
      </c>
      <c r="F35" s="149">
        <v>303.90062296828182</v>
      </c>
      <c r="G35" s="149">
        <v>333.09126802576714</v>
      </c>
      <c r="H35" s="149">
        <v>365.5721195115475</v>
      </c>
      <c r="I35" s="2"/>
      <c r="J35" s="2"/>
    </row>
    <row r="36" spans="2:11">
      <c r="B36" s="146" t="s">
        <v>482</v>
      </c>
      <c r="C36" s="75" t="s">
        <v>230</v>
      </c>
      <c r="D36" s="140">
        <v>-75.968074471224128</v>
      </c>
      <c r="E36" s="149">
        <v>0</v>
      </c>
      <c r="F36" s="149">
        <v>0</v>
      </c>
      <c r="G36" s="149">
        <v>0</v>
      </c>
      <c r="H36" s="149">
        <v>0</v>
      </c>
      <c r="I36" s="2"/>
      <c r="J36" s="2"/>
    </row>
    <row r="37" spans="2:11">
      <c r="B37" s="146" t="s">
        <v>483</v>
      </c>
      <c r="C37" s="75" t="s">
        <v>230</v>
      </c>
      <c r="D37" s="140">
        <v>-5177.3549385184106</v>
      </c>
      <c r="E37" s="149">
        <v>-5372.5266399798338</v>
      </c>
      <c r="F37" s="149">
        <v>-5374.8352184684009</v>
      </c>
      <c r="G37" s="149">
        <v>-4541.6970258555184</v>
      </c>
      <c r="H37" s="149">
        <v>-4581.8560997735212</v>
      </c>
      <c r="I37" s="2"/>
      <c r="J37" s="2"/>
    </row>
    <row r="38" spans="2:11">
      <c r="B38" s="146">
        <v>0</v>
      </c>
      <c r="C38" s="75" t="s">
        <v>230</v>
      </c>
      <c r="D38" s="140">
        <v>0</v>
      </c>
      <c r="E38" s="149">
        <v>0</v>
      </c>
      <c r="F38" s="149">
        <v>0</v>
      </c>
      <c r="G38" s="149">
        <v>0</v>
      </c>
      <c r="H38" s="149">
        <v>0</v>
      </c>
      <c r="I38" s="2"/>
      <c r="J38" s="2"/>
      <c r="K38" s="306"/>
    </row>
    <row r="39" spans="2:11">
      <c r="B39" s="146">
        <v>0</v>
      </c>
      <c r="C39" s="75" t="s">
        <v>230</v>
      </c>
      <c r="D39" s="140">
        <v>0</v>
      </c>
      <c r="E39" s="149">
        <v>0</v>
      </c>
      <c r="F39" s="149">
        <v>0</v>
      </c>
      <c r="G39" s="149">
        <v>0</v>
      </c>
      <c r="H39" s="149">
        <v>0</v>
      </c>
    </row>
    <row r="40" spans="2:11">
      <c r="B40" s="146">
        <v>0</v>
      </c>
      <c r="C40" s="75" t="s">
        <v>230</v>
      </c>
      <c r="D40" s="140">
        <v>0</v>
      </c>
      <c r="E40" s="149">
        <v>0</v>
      </c>
      <c r="F40" s="149">
        <v>0</v>
      </c>
      <c r="G40" s="149">
        <v>0</v>
      </c>
      <c r="H40" s="149">
        <v>0</v>
      </c>
    </row>
    <row r="41" spans="2:11">
      <c r="B41" s="146">
        <v>0</v>
      </c>
      <c r="C41" s="75" t="s">
        <v>230</v>
      </c>
      <c r="D41" s="140">
        <v>0</v>
      </c>
      <c r="E41" s="149">
        <v>0</v>
      </c>
      <c r="F41" s="149">
        <v>0</v>
      </c>
      <c r="G41" s="149">
        <v>0</v>
      </c>
      <c r="H41" s="149">
        <v>0</v>
      </c>
    </row>
    <row r="42" spans="2:11">
      <c r="B42" s="146">
        <v>0</v>
      </c>
      <c r="C42" s="75" t="s">
        <v>230</v>
      </c>
      <c r="D42" s="150">
        <v>0</v>
      </c>
      <c r="E42" s="151">
        <v>0</v>
      </c>
      <c r="F42" s="151">
        <v>0</v>
      </c>
      <c r="G42" s="151">
        <v>0</v>
      </c>
      <c r="H42" s="151">
        <v>0</v>
      </c>
    </row>
    <row r="43" spans="2:11">
      <c r="B43" s="377" t="s">
        <v>458</v>
      </c>
      <c r="C43" s="75" t="s">
        <v>230</v>
      </c>
      <c r="D43" s="233">
        <f>SUM(D24,D27:D42)</f>
        <v>1609.7373068771358</v>
      </c>
      <c r="E43" s="233">
        <f t="shared" ref="E43:H43" si="3">SUM(E24,E27:E42)</f>
        <v>1679.1790404032536</v>
      </c>
      <c r="F43" s="233">
        <f t="shared" si="3"/>
        <v>1675.0535780536366</v>
      </c>
      <c r="G43" s="233">
        <f t="shared" si="3"/>
        <v>1409.1638570788609</v>
      </c>
      <c r="H43" s="233">
        <f t="shared" si="3"/>
        <v>1411.6000935330512</v>
      </c>
    </row>
    <row r="44" spans="2:11">
      <c r="B44" s="147" t="s">
        <v>459</v>
      </c>
      <c r="C44" s="75" t="s">
        <v>230</v>
      </c>
      <c r="D44" s="533"/>
      <c r="E44" s="262">
        <v>143.29593415462116</v>
      </c>
      <c r="F44" s="262">
        <v>142.93795113016589</v>
      </c>
      <c r="G44" s="262">
        <v>392.52687933107063</v>
      </c>
      <c r="H44" s="262">
        <v>387.3321571046198</v>
      </c>
    </row>
    <row r="45" spans="2:11">
      <c r="B45" s="377" t="s">
        <v>460</v>
      </c>
      <c r="C45" s="75" t="s">
        <v>230</v>
      </c>
      <c r="D45" s="46">
        <f>SUM(D43:D44)</f>
        <v>1609.7373068771358</v>
      </c>
      <c r="E45" s="47">
        <f t="shared" ref="E45:H45" si="4">SUM(E43:E44)</f>
        <v>1822.4749745578747</v>
      </c>
      <c r="F45" s="47">
        <f t="shared" si="4"/>
        <v>1817.9915291838024</v>
      </c>
      <c r="G45" s="47">
        <f t="shared" si="4"/>
        <v>1801.6907364099316</v>
      </c>
      <c r="H45" s="47">
        <f t="shared" si="4"/>
        <v>1798.9322506376711</v>
      </c>
    </row>
    <row r="46" spans="2:11">
      <c r="D46" s="103" t="s">
        <v>731</v>
      </c>
      <c r="E46" s="104" t="s">
        <v>731</v>
      </c>
      <c r="F46" s="104" t="s">
        <v>731</v>
      </c>
      <c r="G46" s="104" t="s">
        <v>731</v>
      </c>
      <c r="H46" s="104" t="s">
        <v>731</v>
      </c>
    </row>
    <row r="48" spans="2:11">
      <c r="B48" s="378" t="s">
        <v>461</v>
      </c>
      <c r="C48" s="75" t="s">
        <v>230</v>
      </c>
      <c r="D48" s="262">
        <v>1293.645171574763</v>
      </c>
      <c r="E48" s="47">
        <f>D49</f>
        <v>1609.7373068771358</v>
      </c>
      <c r="F48" s="47">
        <f t="shared" ref="F48:H48" si="5">E49</f>
        <v>1822.4749745578747</v>
      </c>
      <c r="G48" s="47">
        <f t="shared" si="5"/>
        <v>1817.9915291838024</v>
      </c>
      <c r="H48" s="47">
        <f t="shared" si="5"/>
        <v>1801.6907364099316</v>
      </c>
      <c r="I48" s="90"/>
    </row>
    <row r="49" spans="2:10">
      <c r="B49" s="378" t="s">
        <v>462</v>
      </c>
      <c r="C49" s="75" t="s">
        <v>230</v>
      </c>
      <c r="D49" s="199">
        <f>D45</f>
        <v>1609.7373068771358</v>
      </c>
      <c r="E49" s="200">
        <f>E45</f>
        <v>1822.4749745578747</v>
      </c>
      <c r="F49" s="200">
        <f t="shared" ref="F49:H49" si="6">F45</f>
        <v>1817.9915291838024</v>
      </c>
      <c r="G49" s="200">
        <f t="shared" si="6"/>
        <v>1801.6907364099316</v>
      </c>
      <c r="H49" s="200">
        <f t="shared" si="6"/>
        <v>1798.9322506376711</v>
      </c>
      <c r="I49" s="90"/>
    </row>
    <row r="50" spans="2:10">
      <c r="D50" s="12"/>
      <c r="E50" s="12"/>
      <c r="F50" s="12"/>
      <c r="G50" s="12"/>
      <c r="H50" s="12"/>
    </row>
    <row r="51" spans="2:10">
      <c r="B51" s="6" t="s">
        <v>463</v>
      </c>
    </row>
    <row r="52" spans="2:10">
      <c r="B52" t="s">
        <v>464</v>
      </c>
      <c r="C52" s="90" t="s">
        <v>194</v>
      </c>
      <c r="D52" s="408">
        <v>0</v>
      </c>
      <c r="E52" s="409">
        <v>0</v>
      </c>
      <c r="F52" s="409">
        <v>0</v>
      </c>
      <c r="G52" s="409">
        <v>0</v>
      </c>
      <c r="H52" s="409">
        <v>0</v>
      </c>
    </row>
    <row r="53" spans="2:10">
      <c r="B53" t="s">
        <v>441</v>
      </c>
      <c r="C53" s="90" t="s">
        <v>194</v>
      </c>
      <c r="D53" s="176">
        <f>1-D52</f>
        <v>1</v>
      </c>
      <c r="E53" s="177">
        <f t="shared" ref="E53:H53" si="7">1-E52</f>
        <v>1</v>
      </c>
      <c r="F53" s="177">
        <f t="shared" si="7"/>
        <v>1</v>
      </c>
      <c r="G53" s="177">
        <f t="shared" si="7"/>
        <v>1</v>
      </c>
      <c r="H53" s="177">
        <f t="shared" si="7"/>
        <v>1</v>
      </c>
      <c r="J53" s="306"/>
    </row>
    <row r="54" spans="2:10">
      <c r="C54" s="90"/>
      <c r="D54" s="90"/>
      <c r="E54" s="90"/>
      <c r="F54" s="90"/>
      <c r="G54" s="90"/>
      <c r="H54" s="90"/>
      <c r="I54" s="90"/>
    </row>
    <row r="55" spans="2:10">
      <c r="B55" t="s">
        <v>465</v>
      </c>
      <c r="C55" s="75" t="s">
        <v>230</v>
      </c>
      <c r="D55" s="234">
        <f>AVERAGE(D48:D49)*D53</f>
        <v>1451.6912392259494</v>
      </c>
      <c r="E55" s="235">
        <f t="shared" ref="E55:H55" si="8">AVERAGE(E48:E49)*E53</f>
        <v>1716.1061407175052</v>
      </c>
      <c r="F55" s="235">
        <f t="shared" si="8"/>
        <v>1820.2332518708386</v>
      </c>
      <c r="G55" s="235">
        <f t="shared" si="8"/>
        <v>1809.841132796867</v>
      </c>
      <c r="H55" s="235">
        <f t="shared" si="8"/>
        <v>1800.3114935238013</v>
      </c>
    </row>
    <row r="56" spans="2:10">
      <c r="B56" t="s">
        <v>466</v>
      </c>
      <c r="C56" s="75" t="s">
        <v>230</v>
      </c>
      <c r="D56" s="231">
        <f>D57-D55</f>
        <v>1088.2770218835174</v>
      </c>
      <c r="E56" s="232">
        <f t="shared" ref="E56:H56" si="9">E57-E55</f>
        <v>1023.9191290360773</v>
      </c>
      <c r="F56" s="232">
        <f t="shared" si="9"/>
        <v>1048.7686130307816</v>
      </c>
      <c r="G56" s="232">
        <f t="shared" si="9"/>
        <v>1127.940797707523</v>
      </c>
      <c r="H56" s="232">
        <f t="shared" si="9"/>
        <v>1188.7685230921388</v>
      </c>
    </row>
    <row r="57" spans="2:10">
      <c r="B57" t="s">
        <v>467</v>
      </c>
      <c r="C57" s="75" t="s">
        <v>230</v>
      </c>
      <c r="D57" s="277">
        <v>2539.9682611094668</v>
      </c>
      <c r="E57" s="277">
        <v>2740.0252697535825</v>
      </c>
      <c r="F57" s="277">
        <v>2869.0018649016201</v>
      </c>
      <c r="G57" s="277">
        <v>2937.7819305043899</v>
      </c>
      <c r="H57" s="277">
        <v>2989.0800166159402</v>
      </c>
    </row>
    <row r="58" spans="2:10">
      <c r="B58" t="s">
        <v>468</v>
      </c>
      <c r="C58" s="75" t="s">
        <v>194</v>
      </c>
      <c r="D58" s="107">
        <f>D55/D57</f>
        <v>0.57153912568649412</v>
      </c>
      <c r="E58" s="108">
        <f t="shared" ref="E58:H58" si="10">E55/E57</f>
        <v>0.62631033358018595</v>
      </c>
      <c r="F58" s="108">
        <f t="shared" si="10"/>
        <v>0.63444826374598939</v>
      </c>
      <c r="G58" s="108">
        <f t="shared" si="10"/>
        <v>0.61605700341622494</v>
      </c>
      <c r="H58" s="108">
        <f t="shared" si="10"/>
        <v>0.60229618595557288</v>
      </c>
    </row>
    <row r="59" spans="2:10">
      <c r="B59" t="s">
        <v>24</v>
      </c>
      <c r="C59" s="75" t="s">
        <v>194</v>
      </c>
      <c r="D59" s="278">
        <v>0.6</v>
      </c>
      <c r="E59" s="279">
        <v>0.6</v>
      </c>
      <c r="F59" s="279">
        <v>0.6</v>
      </c>
      <c r="G59" s="279">
        <v>0.6</v>
      </c>
      <c r="H59" s="279">
        <v>0.6</v>
      </c>
    </row>
    <row r="60" spans="2:10">
      <c r="B60" t="s">
        <v>469</v>
      </c>
      <c r="C60" s="75" t="s">
        <v>194</v>
      </c>
      <c r="D60" s="110">
        <f t="shared" ref="D60:H60" si="11">IF(ISBLANK(D24),"n/a",D58-D59)</f>
        <v>-2.8460874313505857E-2</v>
      </c>
      <c r="E60" s="111">
        <f t="shared" si="11"/>
        <v>2.6310333580185974E-2</v>
      </c>
      <c r="F60" s="111">
        <f t="shared" si="11"/>
        <v>3.4448263745989416E-2</v>
      </c>
      <c r="G60" s="111">
        <f t="shared" si="11"/>
        <v>1.6057003416224958E-2</v>
      </c>
      <c r="H60" s="111">
        <f t="shared" si="11"/>
        <v>2.2961859555729047E-3</v>
      </c>
    </row>
    <row r="62" spans="2:10">
      <c r="B62" t="s">
        <v>470</v>
      </c>
      <c r="C62" s="38" t="str">
        <f>Data!$C$9</f>
        <v>£m 18/19</v>
      </c>
      <c r="D62" s="526">
        <f>D64*D58</f>
        <v>1309.9897501467233</v>
      </c>
      <c r="E62" s="336">
        <f t="shared" ref="E62:H62" si="12">E64*E58</f>
        <v>1456.8386612151373</v>
      </c>
      <c r="F62" s="336">
        <f t="shared" si="12"/>
        <v>1489.4368754139189</v>
      </c>
      <c r="G62" s="336">
        <f t="shared" si="12"/>
        <v>1453.228633098905</v>
      </c>
      <c r="H62" s="336">
        <f t="shared" si="12"/>
        <v>1419.413524974914</v>
      </c>
    </row>
    <row r="63" spans="2:10">
      <c r="B63" t="s">
        <v>471</v>
      </c>
      <c r="C63" s="38" t="str">
        <f>Data!$C$9</f>
        <v>£m 18/19</v>
      </c>
      <c r="D63" s="219">
        <f>D64*(1-D58)</f>
        <v>982.04887200928783</v>
      </c>
      <c r="E63" s="220">
        <f t="shared" ref="E63:H63" si="13">E64*(1-E58)</f>
        <v>869.22652261695987</v>
      </c>
      <c r="F63" s="220">
        <f t="shared" si="13"/>
        <v>858.17278880014635</v>
      </c>
      <c r="G63" s="220">
        <f t="shared" si="13"/>
        <v>905.69046860809078</v>
      </c>
      <c r="H63" s="220">
        <f t="shared" si="13"/>
        <v>937.25676129452972</v>
      </c>
    </row>
    <row r="64" spans="2:10">
      <c r="B64" t="s">
        <v>472</v>
      </c>
      <c r="C64" s="38" t="str">
        <f>Data!$C$9</f>
        <v>£m 18/19</v>
      </c>
      <c r="D64" s="277">
        <v>2292.0386221560111</v>
      </c>
      <c r="E64" s="277">
        <v>2326.0651838320973</v>
      </c>
      <c r="F64" s="277">
        <v>2347.6096642140651</v>
      </c>
      <c r="G64" s="277">
        <v>2358.9191017069957</v>
      </c>
      <c r="H64" s="277">
        <v>2356.6702862694437</v>
      </c>
    </row>
    <row r="65" spans="2:8">
      <c r="B65" t="s">
        <v>468</v>
      </c>
      <c r="C65" s="75" t="s">
        <v>194</v>
      </c>
      <c r="D65" s="107">
        <f>D62/D64</f>
        <v>0.57153912568649412</v>
      </c>
      <c r="E65" s="108">
        <f t="shared" ref="E65:H65" si="14">E62/E64</f>
        <v>0.62631033358018595</v>
      </c>
      <c r="F65" s="108">
        <f t="shared" si="14"/>
        <v>0.63444826374598939</v>
      </c>
      <c r="G65" s="108">
        <f t="shared" si="14"/>
        <v>0.61605700341622494</v>
      </c>
      <c r="H65" s="108">
        <f t="shared" si="14"/>
        <v>0.60229618595557288</v>
      </c>
    </row>
    <row r="66" spans="2:8">
      <c r="B66" t="s">
        <v>24</v>
      </c>
      <c r="C66" s="75" t="s">
        <v>194</v>
      </c>
      <c r="D66" s="278">
        <f>Data!$C$8</f>
        <v>0.6</v>
      </c>
      <c r="E66" s="279">
        <f>Data!$C$8</f>
        <v>0.6</v>
      </c>
      <c r="F66" s="279">
        <f>Data!$C$8</f>
        <v>0.6</v>
      </c>
      <c r="G66" s="279">
        <f>Data!$C$8</f>
        <v>0.6</v>
      </c>
      <c r="H66" s="279">
        <f>Data!$C$8</f>
        <v>0.6</v>
      </c>
    </row>
    <row r="67" spans="2:8">
      <c r="B67" t="s">
        <v>469</v>
      </c>
      <c r="C67" s="75" t="s">
        <v>194</v>
      </c>
      <c r="D67" s="110">
        <f t="shared" ref="D67:H67" si="15">IF(ISBLANK(D24),"n/a",D65-D66)</f>
        <v>-2.8460874313505857E-2</v>
      </c>
      <c r="E67" s="111">
        <f t="shared" si="15"/>
        <v>2.6310333580185974E-2</v>
      </c>
      <c r="F67" s="111">
        <f t="shared" si="15"/>
        <v>3.4448263745989416E-2</v>
      </c>
      <c r="G67" s="111">
        <f t="shared" si="15"/>
        <v>1.6057003416224958E-2</v>
      </c>
      <c r="H67" s="111">
        <f t="shared" si="15"/>
        <v>2.2961859555729047E-3</v>
      </c>
    </row>
  </sheetData>
  <conditionalFormatting sqref="D44">
    <cfRule type="expression" dxfId="43" priority="3">
      <formula>C$12="N/A"</formula>
    </cfRule>
  </conditionalFormatting>
  <conditionalFormatting sqref="D44">
    <cfRule type="expression" dxfId="42" priority="2">
      <formula>D$5="Forecast"</formula>
    </cfRule>
  </conditionalFormatting>
  <conditionalFormatting sqref="D44:H44">
    <cfRule type="expression" dxfId="41" priority="1">
      <formula>D$5="Actuals"</formula>
    </cfRule>
  </conditionalFormatting>
  <pageMargins left="0.70866141732283472" right="0.70866141732283472" top="0.74803149606299213" bottom="0.74803149606299213" header="0.31496062992125984" footer="0.31496062992125984"/>
  <pageSetup paperSize="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CC"/>
    <pageSetUpPr fitToPage="1"/>
  </sheetPr>
  <dimension ref="A1:R64"/>
  <sheetViews>
    <sheetView showGridLines="0" zoomScaleNormal="100" workbookViewId="0">
      <pane ySplit="7" topLeftCell="A20" activePane="bottomLeft" state="frozen"/>
      <selection activeCell="B3" sqref="B3:F3"/>
      <selection pane="bottomLeft" activeCell="E34" sqref="E34:I36"/>
    </sheetView>
  </sheetViews>
  <sheetFormatPr defaultRowHeight="12.4"/>
  <cols>
    <col min="1" max="1" width="8.3515625" customWidth="1"/>
    <col min="2" max="2" width="52.1171875" bestFit="1" customWidth="1"/>
    <col min="3" max="3" width="4.234375" customWidth="1"/>
    <col min="4" max="4" width="14.1171875" style="90" customWidth="1"/>
    <col min="5" max="9" width="11.1171875" customWidth="1"/>
    <col min="10" max="10" width="5" customWidth="1"/>
    <col min="12" max="12" width="9" style="88"/>
  </cols>
  <sheetData>
    <row r="1" spans="1:18" ht="20.65">
      <c r="A1" s="777" t="s">
        <v>484</v>
      </c>
      <c r="B1" s="397"/>
      <c r="C1" s="397"/>
      <c r="D1" s="410"/>
      <c r="E1" s="398"/>
      <c r="F1" s="398"/>
      <c r="G1" s="398"/>
      <c r="H1" s="398"/>
      <c r="I1" s="398"/>
      <c r="J1" s="786"/>
    </row>
    <row r="2" spans="1:18" ht="20.65">
      <c r="A2" s="295" t="str">
        <f>Licensee</f>
        <v>Cadent-NW</v>
      </c>
      <c r="B2" s="290"/>
      <c r="C2" s="290"/>
      <c r="D2" s="100"/>
      <c r="E2" s="16"/>
      <c r="F2" s="16"/>
      <c r="G2" s="16"/>
      <c r="H2" s="16"/>
      <c r="I2" s="16"/>
      <c r="J2" s="65"/>
    </row>
    <row r="3" spans="1:18" ht="20.65">
      <c r="A3" s="290">
        <f>Reporting_Year</f>
        <v>2022</v>
      </c>
      <c r="B3" s="577"/>
      <c r="C3" s="577"/>
      <c r="D3" s="577"/>
      <c r="E3" s="577"/>
      <c r="F3" s="577"/>
      <c r="G3" s="577"/>
      <c r="H3" s="577"/>
      <c r="I3" s="577"/>
      <c r="J3" s="119"/>
    </row>
    <row r="4" spans="1:18" s="2" customFormat="1" ht="12.75" customHeight="1">
      <c r="D4" s="1"/>
      <c r="L4" s="66"/>
    </row>
    <row r="5" spans="1:18" s="2" customFormat="1">
      <c r="B5" s="21"/>
      <c r="C5" s="21"/>
      <c r="D5" s="101"/>
      <c r="E5" s="154" t="str">
        <f t="shared" ref="E5:I5" si="0">IF(E6&lt;=Reporting_Year,"Actuals","Forecast")</f>
        <v>Actuals</v>
      </c>
      <c r="F5" s="154" t="str">
        <f t="shared" si="0"/>
        <v>Forecast</v>
      </c>
      <c r="G5" s="154" t="str">
        <f t="shared" si="0"/>
        <v>Forecast</v>
      </c>
      <c r="H5" s="154" t="str">
        <f t="shared" si="0"/>
        <v>Forecast</v>
      </c>
      <c r="I5" s="154" t="str">
        <f t="shared" si="0"/>
        <v>Forecast</v>
      </c>
      <c r="L5" s="66"/>
    </row>
    <row r="6" spans="1:18" s="2" customFormat="1">
      <c r="D6" s="1"/>
      <c r="E6" s="62">
        <f>'RFPR cover'!$C$6</f>
        <v>2022</v>
      </c>
      <c r="F6" s="63">
        <f>E6+1</f>
        <v>2023</v>
      </c>
      <c r="G6" s="63">
        <f t="shared" ref="G6:I6" si="1">F6+1</f>
        <v>2024</v>
      </c>
      <c r="H6" s="63">
        <f t="shared" si="1"/>
        <v>2025</v>
      </c>
      <c r="I6" s="63">
        <f t="shared" si="1"/>
        <v>2026</v>
      </c>
      <c r="L6" s="66"/>
    </row>
    <row r="7" spans="1:18" s="2" customFormat="1">
      <c r="D7" s="1"/>
      <c r="E7" s="62" t="str">
        <f>RIIO_2_start_date-1&amp;"/"&amp;RIGHT(RIIO_2_start_date,2)</f>
        <v>2021/22</v>
      </c>
      <c r="F7" s="62" t="str">
        <f>RIIO_2_start_date&amp;"/"&amp;RIGHT(RIIO_2_start_date+1,2)</f>
        <v>2022/23</v>
      </c>
      <c r="G7" s="62" t="str">
        <f>RIIO_2_start_date+1&amp;"/"&amp;RIGHT(RIIO_2_start_date+2,2)</f>
        <v>2023/24</v>
      </c>
      <c r="H7" s="62" t="str">
        <f>RIIO_2_start_date+2&amp;"/"&amp;RIGHT(RIIO_2_start_date+3,2)</f>
        <v>2024/25</v>
      </c>
      <c r="I7" s="422" t="str">
        <f>RIIO_2_start_date+3&amp;"/"&amp;RIGHT(RIIO_2_start_date+4,2)</f>
        <v>2025/26</v>
      </c>
      <c r="L7" s="66"/>
    </row>
    <row r="8" spans="1:18" s="2" customFormat="1">
      <c r="D8" s="1"/>
      <c r="E8" s="1"/>
      <c r="F8" s="1"/>
      <c r="G8" s="1"/>
      <c r="H8" s="1"/>
      <c r="I8" s="1"/>
      <c r="J8" s="1"/>
      <c r="K8" s="1"/>
      <c r="L8" s="1"/>
      <c r="M8" s="1"/>
      <c r="N8" s="1"/>
      <c r="O8" s="1"/>
      <c r="P8" s="1"/>
      <c r="Q8" s="1"/>
      <c r="R8" s="1"/>
    </row>
    <row r="9" spans="1:18" s="2" customFormat="1">
      <c r="B9" s="612" t="s">
        <v>485</v>
      </c>
      <c r="C9" s="612"/>
      <c r="K9" s="1"/>
      <c r="L9" s="66"/>
    </row>
    <row r="10" spans="1:18" s="2" customFormat="1">
      <c r="K10" s="1"/>
    </row>
    <row r="11" spans="1:18" s="2" customFormat="1">
      <c r="B11" s="160"/>
      <c r="C11" s="160"/>
      <c r="D11" s="160"/>
      <c r="E11" s="160"/>
      <c r="F11" s="160"/>
      <c r="G11" s="160"/>
      <c r="H11" s="160"/>
      <c r="I11" s="160"/>
      <c r="J11" s="160"/>
      <c r="K11" s="1"/>
      <c r="L11" s="66"/>
    </row>
    <row r="12" spans="1:18" s="2" customFormat="1">
      <c r="B12" t="s">
        <v>486</v>
      </c>
      <c r="C12"/>
      <c r="D12" s="94" t="str">
        <f>Data!$C$9</f>
        <v>£m 18/19</v>
      </c>
      <c r="E12" s="339">
        <v>2353.9881826619094</v>
      </c>
      <c r="F12" s="339">
        <v>2375.4655587789061</v>
      </c>
      <c r="G12" s="339">
        <v>2399.0745475197205</v>
      </c>
      <c r="H12" s="339">
        <v>2402.6523460800336</v>
      </c>
      <c r="I12" s="339">
        <v>2402.7155135583948</v>
      </c>
      <c r="K12" s="1"/>
      <c r="L12" s="66"/>
    </row>
    <row r="13" spans="1:18" s="2" customFormat="1">
      <c r="K13" s="1"/>
      <c r="L13" s="66"/>
    </row>
    <row r="14" spans="1:18" s="2" customFormat="1">
      <c r="B14" s="160"/>
      <c r="C14" s="160"/>
      <c r="D14" s="1"/>
      <c r="E14" s="1"/>
      <c r="F14" s="1"/>
      <c r="G14" s="1"/>
      <c r="H14" s="1"/>
      <c r="I14" s="1"/>
      <c r="K14" s="1"/>
      <c r="L14" s="66"/>
    </row>
    <row r="15" spans="1:18" s="2" customFormat="1" ht="13.5">
      <c r="B15" s="2" t="s">
        <v>487</v>
      </c>
      <c r="D15" s="94" t="str">
        <f>Data!$C$9</f>
        <v>£m 18/19</v>
      </c>
      <c r="E15" s="339">
        <v>2303.0114995812728</v>
      </c>
      <c r="F15" s="711">
        <v>2350.3479898035785</v>
      </c>
      <c r="G15" s="711">
        <v>2369.9778414008283</v>
      </c>
      <c r="H15" s="711">
        <v>2392.9982166354334</v>
      </c>
      <c r="I15" s="711">
        <v>2392.1120420625716</v>
      </c>
      <c r="K15" s="1"/>
      <c r="L15" s="66"/>
    </row>
    <row r="16" spans="1:18" s="2" customFormat="1">
      <c r="B16" s="2" t="s">
        <v>488</v>
      </c>
      <c r="D16" s="94" t="str">
        <f>Data!$C$9</f>
        <v>£m 18/19</v>
      </c>
      <c r="E16" s="339">
        <v>0</v>
      </c>
      <c r="F16" s="339">
        <v>0</v>
      </c>
      <c r="G16" s="339">
        <v>0</v>
      </c>
      <c r="H16" s="339">
        <v>0</v>
      </c>
      <c r="I16" s="339">
        <v>0</v>
      </c>
      <c r="K16" s="1"/>
      <c r="L16" s="66"/>
    </row>
    <row r="17" spans="1:13" s="2" customFormat="1">
      <c r="B17" s="5" t="s">
        <v>489</v>
      </c>
      <c r="C17" s="5"/>
      <c r="D17" s="94" t="str">
        <f>Data!$C$9</f>
        <v>£m 18/19</v>
      </c>
      <c r="E17" s="430">
        <f>SUM(E15:E16)</f>
        <v>2303.0114995812728</v>
      </c>
      <c r="F17" s="431">
        <f t="shared" ref="F17:I17" si="2">SUM(F15:F16)</f>
        <v>2350.3479898035785</v>
      </c>
      <c r="G17" s="431">
        <f t="shared" si="2"/>
        <v>2369.9778414008283</v>
      </c>
      <c r="H17" s="431">
        <f t="shared" si="2"/>
        <v>2392.9982166354334</v>
      </c>
      <c r="I17" s="431">
        <f t="shared" si="2"/>
        <v>2392.1120420625716</v>
      </c>
      <c r="K17" s="1"/>
      <c r="L17" s="66"/>
    </row>
    <row r="18" spans="1:13" s="2" customFormat="1">
      <c r="B18" s="328" t="s">
        <v>490</v>
      </c>
      <c r="C18" s="328"/>
      <c r="D18" s="94" t="str">
        <f>Data!$C$9</f>
        <v>£m 18/19</v>
      </c>
      <c r="E18" s="338">
        <v>171.53613882477271</v>
      </c>
      <c r="F18" s="338">
        <v>146.23728604368392</v>
      </c>
      <c r="G18" s="338">
        <v>151.30366732930437</v>
      </c>
      <c r="H18" s="338">
        <v>134.28623119399688</v>
      </c>
      <c r="I18" s="338">
        <v>132.89927851142426</v>
      </c>
      <c r="K18" s="1"/>
      <c r="L18" s="66"/>
    </row>
    <row r="19" spans="1:13" s="2" customFormat="1">
      <c r="B19" s="328" t="s">
        <v>491</v>
      </c>
      <c r="C19" s="328"/>
      <c r="D19" s="94" t="str">
        <f>Data!$C$9</f>
        <v>£m 18/19</v>
      </c>
      <c r="E19" s="653">
        <v>-3.6401928583305789</v>
      </c>
      <c r="F19" s="653">
        <v>-2.0057937744568619</v>
      </c>
      <c r="G19" s="653">
        <v>-0.83057409134644899</v>
      </c>
      <c r="H19" s="653">
        <v>-4.736590575778763</v>
      </c>
      <c r="I19" s="653">
        <v>-4.4899425528288361</v>
      </c>
      <c r="K19" s="1"/>
      <c r="L19" s="66"/>
    </row>
    <row r="20" spans="1:13" s="2" customFormat="1">
      <c r="B20" s="663" t="s">
        <v>492</v>
      </c>
      <c r="C20" s="663"/>
      <c r="D20" s="94" t="str">
        <f>Data!$C$9</f>
        <v>£m 18/19</v>
      </c>
      <c r="E20" s="668">
        <f>SUM(E18:E19)</f>
        <v>167.89594596644213</v>
      </c>
      <c r="F20" s="668">
        <f t="shared" ref="F20:I20" si="3">SUM(F18:F19)</f>
        <v>144.23149226922706</v>
      </c>
      <c r="G20" s="668">
        <f t="shared" si="3"/>
        <v>150.47309323795793</v>
      </c>
      <c r="H20" s="668">
        <f t="shared" si="3"/>
        <v>129.54964061821812</v>
      </c>
      <c r="I20" s="668">
        <f t="shared" si="3"/>
        <v>128.40933595859542</v>
      </c>
      <c r="K20" s="1"/>
      <c r="L20" s="66"/>
    </row>
    <row r="21" spans="1:13" s="2" customFormat="1">
      <c r="B21" s="328" t="s">
        <v>493</v>
      </c>
      <c r="C21" s="328"/>
      <c r="D21" s="94" t="str">
        <f>Data!$C$9</f>
        <v>£m 18/19</v>
      </c>
      <c r="E21" s="669">
        <v>-120.55945574413641</v>
      </c>
      <c r="F21" s="669">
        <v>-124.7599099266871</v>
      </c>
      <c r="G21" s="669">
        <v>-127.69467858849019</v>
      </c>
      <c r="H21" s="669">
        <v>-130.70843263368386</v>
      </c>
      <c r="I21" s="669">
        <v>-132.83611103306282</v>
      </c>
      <c r="K21" s="1"/>
      <c r="L21" s="66"/>
    </row>
    <row r="22" spans="1:13" s="2" customFormat="1">
      <c r="B22" s="328" t="s">
        <v>494</v>
      </c>
      <c r="C22" s="328"/>
      <c r="D22" s="94" t="str">
        <f>Data!$C$9</f>
        <v>£m 18/19</v>
      </c>
      <c r="E22" s="654">
        <v>0</v>
      </c>
      <c r="F22" s="654">
        <v>0.15826925471002085</v>
      </c>
      <c r="G22" s="654">
        <v>0.24196058513732055</v>
      </c>
      <c r="H22" s="654">
        <v>0.27261744260380283</v>
      </c>
      <c r="I22" s="654">
        <v>0.47229861669640627</v>
      </c>
      <c r="K22" s="1"/>
      <c r="L22" s="66"/>
    </row>
    <row r="23" spans="1:13" s="2" customFormat="1">
      <c r="B23" s="155" t="s">
        <v>495</v>
      </c>
      <c r="C23" s="155"/>
      <c r="D23" s="94" t="str">
        <f>Data!$C$9</f>
        <v>£m 18/19</v>
      </c>
      <c r="E23" s="411">
        <f>SUM(E21:E22)</f>
        <v>-120.55945574413641</v>
      </c>
      <c r="F23" s="411">
        <f t="shared" ref="F23:I23" si="4">SUM(F21:F22)</f>
        <v>-124.60164067197708</v>
      </c>
      <c r="G23" s="411">
        <f t="shared" si="4"/>
        <v>-127.45271800335287</v>
      </c>
      <c r="H23" s="411">
        <f t="shared" si="4"/>
        <v>-130.43581519108005</v>
      </c>
      <c r="I23" s="411">
        <f t="shared" si="4"/>
        <v>-132.36381241636641</v>
      </c>
      <c r="K23" s="1"/>
      <c r="L23" s="66"/>
    </row>
    <row r="24" spans="1:13" s="2" customFormat="1">
      <c r="B24" s="5" t="s">
        <v>496</v>
      </c>
      <c r="C24" s="5"/>
      <c r="D24" s="94" t="str">
        <f>Data!$C$9</f>
        <v>£m 18/19</v>
      </c>
      <c r="E24" s="236">
        <f>E17+E20+E23</f>
        <v>2350.3479898035785</v>
      </c>
      <c r="F24" s="236">
        <f t="shared" ref="F24:I24" si="5">F17+F20+F23</f>
        <v>2369.9778414008283</v>
      </c>
      <c r="G24" s="236">
        <f t="shared" si="5"/>
        <v>2392.9982166354334</v>
      </c>
      <c r="H24" s="236">
        <f t="shared" si="5"/>
        <v>2392.1120420625716</v>
      </c>
      <c r="I24" s="236">
        <f t="shared" si="5"/>
        <v>2388.1575656048008</v>
      </c>
      <c r="K24" s="1"/>
      <c r="L24" s="66"/>
    </row>
    <row r="25" spans="1:13" s="2" customFormat="1">
      <c r="B25" s="5"/>
      <c r="C25" s="5"/>
      <c r="D25" s="94"/>
      <c r="E25" s="94"/>
      <c r="F25" s="94"/>
      <c r="G25" s="94"/>
      <c r="H25" s="94"/>
      <c r="I25" s="94"/>
      <c r="J25" s="94"/>
      <c r="K25" s="1"/>
      <c r="L25" s="94"/>
      <c r="M25" s="94"/>
    </row>
    <row r="26" spans="1:13" s="2" customFormat="1">
      <c r="B26" s="5" t="s">
        <v>497</v>
      </c>
      <c r="C26" s="94"/>
      <c r="D26" s="352"/>
      <c r="E26" s="236">
        <f>E19+E22</f>
        <v>-3.6401928583305789</v>
      </c>
      <c r="F26" s="714">
        <f>F19+F22</f>
        <v>-1.8475245197468411</v>
      </c>
      <c r="G26" s="714">
        <f t="shared" ref="G26:I26" si="6">G19+G22</f>
        <v>-0.58861350620912845</v>
      </c>
      <c r="H26" s="714">
        <f t="shared" si="6"/>
        <v>-4.4639731331749601</v>
      </c>
      <c r="I26" s="715">
        <f t="shared" si="6"/>
        <v>-4.0176439361324299</v>
      </c>
      <c r="J26" s="94"/>
      <c r="K26" s="1"/>
      <c r="L26" s="94"/>
      <c r="M26" s="94"/>
    </row>
    <row r="27" spans="1:13" s="2" customFormat="1">
      <c r="B27" s="5" t="s">
        <v>498</v>
      </c>
      <c r="C27" s="94"/>
      <c r="D27" s="713"/>
      <c r="E27" s="716" t="str">
        <f>IF(E5="Actuals",IF(ABS((E24-SUM($E26:E$26))-E12)&lt;0.1,"TRUE","FALSE"),"NA")</f>
        <v>TRUE</v>
      </c>
      <c r="F27" s="717" t="str">
        <f>IF(F5="Actuals",IF(ABS((F24-SUM($E26:F$26))-F12)&lt;0.1,"TRUE","FALSE"),"NA")</f>
        <v>NA</v>
      </c>
      <c r="G27" s="717" t="str">
        <f>IF(G5="Actuals",IF(ABS((G24-SUM($E26:G$26))-G12)&lt;0.1,"TRUE","FALSE"),"NA")</f>
        <v>NA</v>
      </c>
      <c r="H27" s="717" t="str">
        <f>IF(H5="Actuals",IF(ABS((H24-SUM($E26:H$26))-H12)&lt;0.1,"TRUE","FALSE"),"NA")</f>
        <v>NA</v>
      </c>
      <c r="I27" s="718" t="str">
        <f>IF(I5="Actuals",IF(ABS((I24-SUM($E26:I$26))-I12)&lt;0.1,"TRUE","FALSE"),"NA")</f>
        <v>NA</v>
      </c>
      <c r="J27" s="94"/>
      <c r="K27" s="1"/>
      <c r="L27" s="94"/>
      <c r="M27" s="94"/>
    </row>
    <row r="28" spans="1:13" s="2" customFormat="1">
      <c r="B28" s="5"/>
      <c r="C28" s="5"/>
      <c r="D28" s="94"/>
      <c r="E28" s="94"/>
      <c r="F28" s="94"/>
      <c r="G28" s="94"/>
      <c r="H28" s="94"/>
      <c r="I28" s="94"/>
      <c r="J28" s="94"/>
      <c r="K28" s="1"/>
      <c r="L28" s="94"/>
      <c r="M28" s="94"/>
    </row>
    <row r="29" spans="1:13" s="2" customFormat="1">
      <c r="B29" s="5"/>
      <c r="C29" s="5"/>
      <c r="D29" s="94"/>
      <c r="E29" s="352"/>
      <c r="F29" s="94"/>
      <c r="G29" s="352"/>
      <c r="H29" s="352"/>
      <c r="I29" s="352"/>
      <c r="J29" s="94"/>
      <c r="K29" s="1"/>
      <c r="L29" s="94"/>
      <c r="M29" s="94"/>
    </row>
    <row r="30" spans="1:13" s="2" customFormat="1">
      <c r="A30"/>
      <c r="B30" s="2" t="s">
        <v>499</v>
      </c>
      <c r="D30" s="90" t="s">
        <v>500</v>
      </c>
      <c r="E30" s="648">
        <f>INDEX(Data!C17:N17,MATCH(RIIO_2_start_date-1,Data!C15:N15,0))/IF(Sector="ED2",Data!$E$16,Data!$C$16)</f>
        <v>1.0533528227824487</v>
      </c>
      <c r="F30" s="94"/>
      <c r="G30" s="352"/>
      <c r="H30" s="352"/>
      <c r="I30" s="528"/>
      <c r="J30" s="530"/>
      <c r="K30" s="1"/>
      <c r="L30" s="94"/>
      <c r="M30" s="94"/>
    </row>
    <row r="31" spans="1:13" s="2" customFormat="1">
      <c r="B31" s="5"/>
      <c r="C31" s="5"/>
      <c r="D31" s="94"/>
      <c r="E31" s="174"/>
      <c r="F31" s="174"/>
      <c r="G31" s="174"/>
      <c r="H31" s="174"/>
      <c r="I31" s="174"/>
      <c r="J31" s="94"/>
      <c r="K31" s="1"/>
      <c r="L31" s="94"/>
      <c r="M31" s="94"/>
    </row>
    <row r="32" spans="1:13" s="2" customFormat="1">
      <c r="B32" s="5" t="s">
        <v>496</v>
      </c>
      <c r="C32" s="5"/>
      <c r="D32" s="75" t="s">
        <v>230</v>
      </c>
      <c r="E32" s="655">
        <f>E24*Combined_real_to_nominal_prices_conversion_factor__financial_year_end</f>
        <v>2654.0528582345601</v>
      </c>
      <c r="F32" s="655">
        <f>F24*Combined_real_to_nominal_prices_conversion_factor__financial_year_end</f>
        <v>2825.9976812726054</v>
      </c>
      <c r="G32" s="655">
        <f>G24*Combined_real_to_nominal_prices_conversion_factor__financial_year_end</f>
        <v>2912.0060485306344</v>
      </c>
      <c r="H32" s="655">
        <f>H24*Combined_real_to_nominal_prices_conversion_factor__financial_year_end</f>
        <v>2963.5578124781455</v>
      </c>
      <c r="I32" s="655">
        <f>I24*Combined_real_to_nominal_prices_conversion_factor__financial_year_end</f>
        <v>3014.6022207537349</v>
      </c>
      <c r="K32" s="1"/>
      <c r="L32" s="94"/>
      <c r="M32" s="94"/>
    </row>
    <row r="33" spans="1:13" s="2" customFormat="1">
      <c r="B33" s="5"/>
      <c r="C33" s="5"/>
      <c r="D33" s="94"/>
      <c r="E33" s="94"/>
      <c r="F33" s="94"/>
      <c r="G33" s="94"/>
      <c r="H33" s="94"/>
      <c r="I33" s="94"/>
      <c r="J33" s="94"/>
      <c r="K33" s="1"/>
      <c r="L33" s="94"/>
      <c r="M33" s="94"/>
    </row>
    <row r="34" spans="1:13" s="2" customFormat="1">
      <c r="B34" s="66" t="s">
        <v>501</v>
      </c>
      <c r="C34" s="66"/>
      <c r="D34" s="94" t="s">
        <v>502</v>
      </c>
      <c r="E34" s="158">
        <v>2.0500000000000001E-2</v>
      </c>
      <c r="F34" s="158">
        <v>1.9E-2</v>
      </c>
      <c r="G34" s="158">
        <v>1.83E-2</v>
      </c>
      <c r="H34" s="158">
        <v>1.78E-2</v>
      </c>
      <c r="I34" s="158">
        <v>1.7500000000000002E-2</v>
      </c>
      <c r="J34" s="94"/>
      <c r="K34" s="1"/>
      <c r="L34" s="94"/>
      <c r="M34" s="94"/>
    </row>
    <row r="35" spans="1:13" s="2" customFormat="1">
      <c r="B35" s="66" t="s">
        <v>503</v>
      </c>
      <c r="C35" s="66"/>
      <c r="D35" s="94" t="s">
        <v>502</v>
      </c>
      <c r="E35" s="510">
        <v>4.5181881000000007E-2</v>
      </c>
      <c r="F35" s="510">
        <v>4.5568105000000005E-2</v>
      </c>
      <c r="G35" s="510">
        <v>4.5399131999999995E-2</v>
      </c>
      <c r="H35" s="510">
        <v>4.564052200000001E-2</v>
      </c>
      <c r="I35" s="510">
        <v>4.5833633999999998E-2</v>
      </c>
      <c r="J35" s="94"/>
      <c r="K35" s="1"/>
      <c r="L35" s="94"/>
      <c r="M35" s="94"/>
    </row>
    <row r="36" spans="1:13">
      <c r="A36" s="2"/>
      <c r="B36" s="66" t="s">
        <v>504</v>
      </c>
      <c r="C36" s="66"/>
      <c r="D36" s="94" t="s">
        <v>194</v>
      </c>
      <c r="E36" s="159">
        <v>0.6</v>
      </c>
      <c r="F36" s="159">
        <v>0.6</v>
      </c>
      <c r="G36" s="159">
        <v>0.6</v>
      </c>
      <c r="H36" s="159">
        <v>0.6</v>
      </c>
      <c r="I36" s="159">
        <v>0.6</v>
      </c>
      <c r="J36" s="94"/>
      <c r="K36" s="1"/>
      <c r="L36" s="94"/>
      <c r="M36" s="94"/>
    </row>
    <row r="37" spans="1:13">
      <c r="B37" t="s">
        <v>505</v>
      </c>
      <c r="D37" s="94" t="s">
        <v>502</v>
      </c>
      <c r="E37" s="156">
        <f t="shared" ref="E37:I37" si="7">E34*E36+E35*(1-E36)</f>
        <v>3.0372752400000001E-2</v>
      </c>
      <c r="F37" s="157">
        <f t="shared" si="7"/>
        <v>2.9627241999999998E-2</v>
      </c>
      <c r="G37" s="157">
        <f t="shared" si="7"/>
        <v>2.9139652799999999E-2</v>
      </c>
      <c r="H37" s="157">
        <f t="shared" si="7"/>
        <v>2.8936208800000002E-2</v>
      </c>
      <c r="I37" s="157">
        <f t="shared" si="7"/>
        <v>2.8833453600000003E-2</v>
      </c>
      <c r="J37" s="94"/>
      <c r="K37" s="1"/>
      <c r="L37" s="94"/>
      <c r="M37" s="94"/>
    </row>
    <row r="38" spans="1:13" s="2" customFormat="1">
      <c r="A38"/>
      <c r="B38"/>
      <c r="C38"/>
      <c r="D38" s="102"/>
      <c r="E38" s="99"/>
      <c r="F38" s="99"/>
      <c r="G38" s="99"/>
      <c r="H38" s="99"/>
      <c r="I38" s="99"/>
      <c r="J38" s="94"/>
      <c r="K38" s="1"/>
      <c r="L38" s="94"/>
      <c r="M38" s="94"/>
    </row>
    <row r="39" spans="1:13" s="2" customFormat="1">
      <c r="A39"/>
      <c r="B39" s="88" t="s">
        <v>506</v>
      </c>
      <c r="C39" s="88"/>
      <c r="D39" s="94" t="str">
        <f>Data!$C$9</f>
        <v>£m 18/19</v>
      </c>
      <c r="E39" s="46">
        <f>E41*E36</f>
        <v>1375.2231732936066</v>
      </c>
      <c r="F39" s="47">
        <f t="shared" ref="F39:I39" si="8">F41*F36</f>
        <v>1395.6391102992584</v>
      </c>
      <c r="G39" s="47">
        <f t="shared" si="8"/>
        <v>1408.565798528439</v>
      </c>
      <c r="H39" s="47">
        <f t="shared" si="8"/>
        <v>1415.3514610241973</v>
      </c>
      <c r="I39" s="47">
        <f t="shared" si="8"/>
        <v>1414.0021717616662</v>
      </c>
      <c r="J39" s="94"/>
      <c r="K39" s="1"/>
      <c r="L39" s="94"/>
      <c r="M39" s="94"/>
    </row>
    <row r="40" spans="1:13" s="2" customFormat="1">
      <c r="A40"/>
      <c r="B40" s="88" t="s">
        <v>507</v>
      </c>
      <c r="C40" s="88"/>
      <c r="D40" s="94" t="str">
        <f>Data!$C$9</f>
        <v>£m 18/19</v>
      </c>
      <c r="E40" s="181">
        <f t="shared" ref="E40:I40" si="9">E41*(1-E36)</f>
        <v>916.81544886240454</v>
      </c>
      <c r="F40" s="182">
        <f t="shared" si="9"/>
        <v>930.42607353283893</v>
      </c>
      <c r="G40" s="182">
        <f t="shared" si="9"/>
        <v>939.04386568562609</v>
      </c>
      <c r="H40" s="182">
        <f t="shared" si="9"/>
        <v>943.56764068279836</v>
      </c>
      <c r="I40" s="182">
        <f t="shared" si="9"/>
        <v>942.66811450777755</v>
      </c>
      <c r="J40" s="94"/>
      <c r="K40" s="1"/>
      <c r="L40" s="94"/>
      <c r="M40" s="94"/>
    </row>
    <row r="41" spans="1:13" s="2" customFormat="1">
      <c r="A41"/>
      <c r="B41" t="s">
        <v>508</v>
      </c>
      <c r="C41"/>
      <c r="D41" s="94" t="str">
        <f>Data!$C$9</f>
        <v>£m 18/19</v>
      </c>
      <c r="E41" s="50">
        <f>AVERAGE(E15,E24*(1/(1+E37)))</f>
        <v>2292.0386221560111</v>
      </c>
      <c r="F41" s="51">
        <f>AVERAGE(F15,F24*(1/(1+F37)))</f>
        <v>2326.0651838320973</v>
      </c>
      <c r="G41" s="51">
        <f>AVERAGE(G15,G24*(1/(1+G37)))</f>
        <v>2347.6096642140651</v>
      </c>
      <c r="H41" s="51">
        <f>AVERAGE(H15,H24*(1/(1+H37)))</f>
        <v>2358.9191017069957</v>
      </c>
      <c r="I41" s="51">
        <f>AVERAGE(I15,I24*(1/(1+I37)))</f>
        <v>2356.6702862694437</v>
      </c>
      <c r="J41" s="94"/>
      <c r="K41" s="1"/>
      <c r="L41" s="94"/>
      <c r="M41" s="94"/>
    </row>
    <row r="42" spans="1:13" s="2" customFormat="1">
      <c r="A42"/>
      <c r="B42"/>
      <c r="C42"/>
      <c r="D42" s="94"/>
      <c r="E42" s="94"/>
      <c r="F42" s="94"/>
      <c r="G42" s="94"/>
      <c r="H42" s="94"/>
      <c r="I42" s="94"/>
      <c r="J42" s="94"/>
      <c r="K42" s="1"/>
      <c r="L42" s="94"/>
      <c r="M42" s="94"/>
    </row>
    <row r="43" spans="1:13" s="2" customFormat="1">
      <c r="A43"/>
      <c r="B43" s="88" t="s">
        <v>509</v>
      </c>
      <c r="C43" s="88"/>
      <c r="D43" s="94" t="str">
        <f>Data!$C$9</f>
        <v>£m 18/19</v>
      </c>
      <c r="E43" s="412">
        <f>E34*E39</f>
        <v>28.192075052518938</v>
      </c>
      <c r="F43" s="413">
        <f t="shared" ref="E43:I44" si="10">F34*F39</f>
        <v>26.51714309568591</v>
      </c>
      <c r="G43" s="413">
        <f t="shared" si="10"/>
        <v>25.776754113070435</v>
      </c>
      <c r="H43" s="413">
        <f t="shared" si="10"/>
        <v>25.193256006230712</v>
      </c>
      <c r="I43" s="413">
        <f t="shared" si="10"/>
        <v>24.745038005829162</v>
      </c>
      <c r="J43" s="94"/>
      <c r="K43" s="1"/>
      <c r="L43" s="94"/>
      <c r="M43" s="94"/>
    </row>
    <row r="44" spans="1:13">
      <c r="B44" s="88" t="s">
        <v>510</v>
      </c>
      <c r="C44" s="88"/>
      <c r="D44" s="94" t="str">
        <f>Data!$C$9</f>
        <v>£m 18/19</v>
      </c>
      <c r="E44" s="43">
        <f t="shared" si="10"/>
        <v>41.423446509462757</v>
      </c>
      <c r="F44" s="44">
        <f t="shared" si="10"/>
        <v>42.397753013482131</v>
      </c>
      <c r="G44" s="44">
        <f t="shared" si="10"/>
        <v>42.631776412052005</v>
      </c>
      <c r="H44" s="44">
        <f t="shared" si="10"/>
        <v>43.064919663071365</v>
      </c>
      <c r="I44" s="44">
        <f t="shared" si="10"/>
        <v>43.205905343819566</v>
      </c>
      <c r="J44" s="94"/>
      <c r="K44" s="1"/>
      <c r="L44" s="94"/>
      <c r="M44" s="94"/>
    </row>
    <row r="45" spans="1:13">
      <c r="B45" t="s">
        <v>511</v>
      </c>
      <c r="D45" s="94" t="str">
        <f>Data!$C$9</f>
        <v>£m 18/19</v>
      </c>
      <c r="E45" s="50">
        <f>SUM(E43:E44)</f>
        <v>69.615521561981694</v>
      </c>
      <c r="F45" s="51">
        <f t="shared" ref="F45:I45" si="11">SUM(F43:F44)</f>
        <v>68.914896109168041</v>
      </c>
      <c r="G45" s="51">
        <f t="shared" si="11"/>
        <v>68.408530525122444</v>
      </c>
      <c r="H45" s="51">
        <f t="shared" si="11"/>
        <v>68.258175669302076</v>
      </c>
      <c r="I45" s="51">
        <f t="shared" si="11"/>
        <v>67.950943349648725</v>
      </c>
      <c r="J45" s="94"/>
      <c r="K45" s="1"/>
      <c r="L45" s="94"/>
      <c r="M45" s="94"/>
    </row>
    <row r="46" spans="1:13">
      <c r="J46" s="94"/>
      <c r="K46" s="1"/>
      <c r="L46" s="94"/>
      <c r="M46" s="94"/>
    </row>
    <row r="47" spans="1:13">
      <c r="B47" s="88"/>
      <c r="C47" s="88"/>
      <c r="D47" s="75"/>
      <c r="E47" s="251"/>
      <c r="F47" s="251"/>
      <c r="G47" s="251"/>
      <c r="H47" s="251"/>
      <c r="I47" s="251"/>
      <c r="J47" s="94"/>
      <c r="K47" s="1"/>
      <c r="L47" s="94"/>
      <c r="M47" s="94"/>
    </row>
    <row r="48" spans="1:13">
      <c r="B48" s="88"/>
      <c r="C48" s="88"/>
      <c r="D48" s="75"/>
      <c r="E48" s="251"/>
      <c r="F48" s="251"/>
      <c r="G48" s="251"/>
      <c r="H48" s="251"/>
      <c r="I48" s="251"/>
      <c r="J48" s="94"/>
      <c r="K48" s="1"/>
      <c r="L48" s="94"/>
      <c r="M48" s="94"/>
    </row>
    <row r="49" spans="2:13">
      <c r="D49" s="75"/>
      <c r="E49" s="238"/>
      <c r="F49" s="238"/>
      <c r="G49" s="238"/>
      <c r="H49" s="238"/>
      <c r="I49" s="238"/>
      <c r="J49" s="94"/>
      <c r="K49" s="1"/>
      <c r="L49" s="94"/>
      <c r="M49" s="94"/>
    </row>
    <row r="50" spans="2:13">
      <c r="D50" s="94"/>
      <c r="E50" s="94"/>
      <c r="F50" s="94"/>
      <c r="G50" s="94"/>
      <c r="H50" s="94"/>
      <c r="I50" s="94"/>
      <c r="J50" s="94"/>
      <c r="K50" s="1"/>
      <c r="L50" s="94"/>
      <c r="M50" s="94"/>
    </row>
    <row r="54" spans="2:13">
      <c r="D54"/>
      <c r="L54"/>
    </row>
    <row r="55" spans="2:13">
      <c r="D55"/>
      <c r="L55"/>
    </row>
    <row r="56" spans="2:13">
      <c r="B56" s="88"/>
      <c r="C56" s="88"/>
      <c r="D56" s="75"/>
      <c r="E56" s="251"/>
      <c r="F56" s="251"/>
      <c r="G56" s="251"/>
      <c r="H56" s="251"/>
      <c r="I56" s="251"/>
      <c r="J56" s="6"/>
    </row>
    <row r="57" spans="2:13">
      <c r="B57" s="88"/>
      <c r="C57" s="88"/>
      <c r="D57" s="75"/>
      <c r="E57" s="238"/>
      <c r="F57" s="238"/>
      <c r="G57" s="238"/>
      <c r="H57" s="238"/>
      <c r="I57" s="238"/>
    </row>
    <row r="58" spans="2:13">
      <c r="D58" s="75"/>
      <c r="E58" s="251"/>
      <c r="F58" s="251"/>
      <c r="G58" s="251"/>
      <c r="H58" s="251"/>
      <c r="I58" s="251"/>
    </row>
    <row r="59" spans="2:13">
      <c r="B59" s="6"/>
      <c r="C59" s="6"/>
      <c r="D59" s="109"/>
      <c r="E59" s="109"/>
      <c r="F59" s="109"/>
      <c r="G59" s="109"/>
      <c r="H59" s="109"/>
      <c r="I59" s="109"/>
    </row>
    <row r="60" spans="2:13">
      <c r="B60" s="6"/>
      <c r="C60" s="6"/>
      <c r="D60" s="109"/>
      <c r="E60" s="109"/>
      <c r="F60" s="109"/>
      <c r="G60" s="109"/>
      <c r="H60" s="109"/>
      <c r="I60" s="109"/>
    </row>
    <row r="61" spans="2:13">
      <c r="B61" s="6"/>
      <c r="C61" s="6"/>
      <c r="D61" s="109"/>
      <c r="E61" s="109"/>
      <c r="F61" s="109"/>
      <c r="G61" s="109"/>
      <c r="H61" s="109"/>
      <c r="I61" s="109"/>
    </row>
    <row r="64" spans="2:13">
      <c r="B64" s="6"/>
      <c r="C64" s="6"/>
      <c r="D64" s="109"/>
      <c r="E64" s="109"/>
      <c r="F64" s="109"/>
      <c r="G64" s="109"/>
      <c r="H64" s="109"/>
      <c r="I64" s="109"/>
    </row>
  </sheetData>
  <conditionalFormatting sqref="E5:H6">
    <cfRule type="expression" dxfId="40" priority="15">
      <formula>AND(E$5="Actuals",F$5="Forecast")</formula>
    </cfRule>
  </conditionalFormatting>
  <conditionalFormatting sqref="I5:I6">
    <cfRule type="expression" dxfId="39" priority="256">
      <formula>AND(I$5="Actuals",#REF!="Forecast")</formula>
    </cfRule>
  </conditionalFormatting>
  <conditionalFormatting sqref="E7:I7">
    <cfRule type="expression" dxfId="38" priority="1">
      <formula>AND(E$5="Actuals",F$5="Forecast")</formula>
    </cfRule>
  </conditionalFormatting>
  <pageMargins left="0.70866141732283472" right="0.70866141732283472" top="0.74803149606299213" bottom="0.74803149606299213" header="0.31496062992125984" footer="0.31496062992125984"/>
  <pageSetup paperSize="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CC"/>
    <pageSetUpPr fitToPage="1"/>
  </sheetPr>
  <dimension ref="A1:AL68"/>
  <sheetViews>
    <sheetView showGridLines="0" zoomScaleNormal="100" workbookViewId="0">
      <pane ySplit="7" topLeftCell="A10" activePane="bottomLeft" state="frozen"/>
      <selection activeCell="B3" sqref="B3:F3"/>
      <selection pane="bottomLeft" activeCell="E33" sqref="E33"/>
    </sheetView>
  </sheetViews>
  <sheetFormatPr defaultRowHeight="12.4"/>
  <cols>
    <col min="1" max="1" width="8.3515625" customWidth="1"/>
    <col min="2" max="2" width="62.76171875" customWidth="1"/>
    <col min="3" max="3" width="5.1171875" customWidth="1"/>
    <col min="4" max="4" width="14.1171875" customWidth="1"/>
    <col min="5" max="9" width="11.1171875" customWidth="1"/>
    <col min="10" max="10" width="7.76171875" customWidth="1"/>
  </cols>
  <sheetData>
    <row r="1" spans="1:14" ht="20.65">
      <c r="A1" s="777" t="s">
        <v>182</v>
      </c>
      <c r="B1" s="397"/>
      <c r="C1" s="397"/>
      <c r="D1" s="398"/>
      <c r="E1" s="398"/>
      <c r="F1" s="398"/>
      <c r="G1" s="398"/>
      <c r="H1" s="398"/>
      <c r="I1" s="398"/>
      <c r="J1" s="786"/>
    </row>
    <row r="2" spans="1:14" ht="20.65">
      <c r="A2" s="295" t="str">
        <f>Licensee</f>
        <v>Cadent-NW</v>
      </c>
      <c r="B2" s="16"/>
      <c r="C2" s="16"/>
      <c r="D2" s="16"/>
      <c r="E2" s="16"/>
      <c r="F2" s="16"/>
      <c r="G2" s="16"/>
      <c r="H2" s="16"/>
      <c r="I2" s="16"/>
      <c r="J2" s="65"/>
    </row>
    <row r="3" spans="1:14" ht="20.65">
      <c r="A3" s="290">
        <f>Reporting_Year</f>
        <v>2022</v>
      </c>
      <c r="B3" s="577"/>
      <c r="C3" s="577"/>
      <c r="D3" s="577"/>
      <c r="E3" s="594"/>
      <c r="F3" s="594"/>
      <c r="G3" s="594"/>
      <c r="H3" s="594"/>
      <c r="I3" s="594"/>
      <c r="J3" s="119"/>
    </row>
    <row r="4" spans="1:14" ht="12.75" customHeight="1">
      <c r="A4" s="120"/>
      <c r="B4" s="121"/>
      <c r="C4" s="121"/>
      <c r="D4" s="120"/>
      <c r="E4" s="532">
        <f>IF(E5="Actuals",1,0)</f>
        <v>0</v>
      </c>
      <c r="F4" s="532">
        <f t="shared" ref="F4:I4" si="0">IF(F5="Actuals",1,0)</f>
        <v>0</v>
      </c>
      <c r="G4" s="532">
        <f t="shared" si="0"/>
        <v>0</v>
      </c>
      <c r="H4" s="532">
        <f t="shared" si="0"/>
        <v>0</v>
      </c>
      <c r="I4" s="532">
        <f t="shared" si="0"/>
        <v>0</v>
      </c>
      <c r="J4" s="122"/>
      <c r="K4" s="121"/>
    </row>
    <row r="5" spans="1:14" s="2" customFormat="1">
      <c r="B5" s="3"/>
      <c r="C5" s="3"/>
      <c r="D5" s="3"/>
      <c r="E5" s="153" t="str">
        <f>IF(E6+1&lt;=Reporting_Year,"Actuals","Forecast")</f>
        <v>Forecast</v>
      </c>
      <c r="F5" s="153" t="str">
        <f>IF(F6+1&lt;=Reporting_Year,"Actuals","Forecast")</f>
        <v>Forecast</v>
      </c>
      <c r="G5" s="153" t="str">
        <f>IF(G6+1&lt;=Reporting_Year,"Actuals","Forecast")</f>
        <v>Forecast</v>
      </c>
      <c r="H5" s="153" t="str">
        <f>IF(H6+1&lt;=Reporting_Year,"Actuals","Forecast")</f>
        <v>Forecast</v>
      </c>
      <c r="I5" s="153" t="str">
        <f>IF(I6+1&lt;=Reporting_Year,"Actuals","Forecast")</f>
        <v>Forecast</v>
      </c>
    </row>
    <row r="6" spans="1:14" s="2" customFormat="1">
      <c r="E6" s="62">
        <f>'RFPR cover'!$C$6</f>
        <v>2022</v>
      </c>
      <c r="F6" s="63">
        <f>E6+1</f>
        <v>2023</v>
      </c>
      <c r="G6" s="63">
        <f t="shared" ref="G6:I6" si="1">F6+1</f>
        <v>2024</v>
      </c>
      <c r="H6" s="63">
        <f t="shared" si="1"/>
        <v>2025</v>
      </c>
      <c r="I6" s="63">
        <f t="shared" si="1"/>
        <v>2026</v>
      </c>
    </row>
    <row r="7" spans="1:14" s="2" customFormat="1">
      <c r="E7" s="62" t="str">
        <f>RIIO_2_start_date-1&amp;"/"&amp;RIGHT(RIIO_2_start_date,2)</f>
        <v>2021/22</v>
      </c>
      <c r="F7" s="62" t="str">
        <f>RIIO_2_start_date&amp;"/"&amp;RIGHT(RIIO_2_start_date+1,2)</f>
        <v>2022/23</v>
      </c>
      <c r="G7" s="62" t="str">
        <f>RIIO_2_start_date+1&amp;"/"&amp;RIGHT(RIIO_2_start_date+2,2)</f>
        <v>2023/24</v>
      </c>
      <c r="H7" s="62" t="str">
        <f>RIIO_2_start_date+2&amp;"/"&amp;RIGHT(RIIO_2_start_date+3,2)</f>
        <v>2024/25</v>
      </c>
      <c r="I7" s="422" t="str">
        <f>RIIO_2_start_date+3&amp;"/"&amp;RIGHT(RIIO_2_start_date+4,2)</f>
        <v>2025/26</v>
      </c>
    </row>
    <row r="8" spans="1:14" s="2" customFormat="1">
      <c r="B8" s="636" t="s">
        <v>512</v>
      </c>
      <c r="C8" s="145"/>
      <c r="D8" s="631"/>
      <c r="E8" s="631"/>
      <c r="F8" s="631"/>
      <c r="G8" s="631"/>
      <c r="H8" s="631"/>
      <c r="I8" s="631"/>
    </row>
    <row r="9" spans="1:14" s="2" customFormat="1" ht="34.5" customHeight="1">
      <c r="B9" s="853" t="s">
        <v>513</v>
      </c>
      <c r="C9" s="853"/>
      <c r="D9" s="853"/>
      <c r="E9" s="853"/>
      <c r="F9" s="853"/>
      <c r="G9" s="853"/>
      <c r="H9" s="853"/>
      <c r="I9" s="853"/>
    </row>
    <row r="10" spans="1:14" s="2" customFormat="1">
      <c r="B10" s="160"/>
      <c r="C10" s="160"/>
    </row>
    <row r="11" spans="1:14" s="2" customFormat="1">
      <c r="B11" s="6" t="s">
        <v>514</v>
      </c>
      <c r="C11" s="6"/>
      <c r="D11" s="75" t="s">
        <v>230</v>
      </c>
      <c r="E11" s="615"/>
      <c r="F11" s="615"/>
      <c r="G11" s="615"/>
      <c r="H11" s="615"/>
      <c r="I11" s="615"/>
      <c r="J11" t="s">
        <v>515</v>
      </c>
    </row>
    <row r="12" spans="1:14" s="2" customFormat="1">
      <c r="B12" s="670"/>
      <c r="C12" s="6"/>
      <c r="D12" s="75"/>
      <c r="E12" s="531"/>
      <c r="F12" s="531"/>
      <c r="G12" s="531"/>
      <c r="H12" s="531"/>
      <c r="I12" s="531"/>
      <c r="J12"/>
    </row>
    <row r="13" spans="1:14">
      <c r="B13" s="6" t="s">
        <v>516</v>
      </c>
      <c r="C13" s="6"/>
      <c r="D13" s="75"/>
      <c r="E13" s="75"/>
      <c r="F13" s="75"/>
      <c r="G13" s="75"/>
      <c r="H13" s="75"/>
      <c r="I13" s="75"/>
      <c r="M13" s="2"/>
      <c r="N13" s="2"/>
    </row>
    <row r="14" spans="1:14">
      <c r="B14" s="146" t="s">
        <v>517</v>
      </c>
      <c r="C14" s="146"/>
      <c r="D14" s="75" t="s">
        <v>230</v>
      </c>
      <c r="E14" s="615"/>
      <c r="F14" s="615"/>
      <c r="G14" s="615"/>
      <c r="H14" s="615"/>
      <c r="I14" s="615"/>
      <c r="M14" s="2"/>
      <c r="N14" s="2"/>
    </row>
    <row r="15" spans="1:14">
      <c r="B15" s="146" t="s">
        <v>260</v>
      </c>
      <c r="C15" s="146"/>
      <c r="D15" s="75" t="s">
        <v>230</v>
      </c>
      <c r="E15" s="615"/>
      <c r="F15" s="615"/>
      <c r="G15" s="615"/>
      <c r="H15" s="615"/>
      <c r="I15" s="615"/>
      <c r="M15" s="2"/>
      <c r="N15" s="2"/>
    </row>
    <row r="16" spans="1:14">
      <c r="B16" s="146" t="s">
        <v>518</v>
      </c>
      <c r="C16" s="146"/>
      <c r="D16" s="75" t="s">
        <v>230</v>
      </c>
      <c r="E16" s="615"/>
      <c r="F16" s="615"/>
      <c r="G16" s="615"/>
      <c r="H16" s="615"/>
      <c r="I16" s="615"/>
      <c r="M16" s="2"/>
      <c r="N16" s="2"/>
    </row>
    <row r="17" spans="2:38">
      <c r="B17" s="146" t="s">
        <v>519</v>
      </c>
      <c r="C17" s="146"/>
      <c r="D17" s="75" t="s">
        <v>230</v>
      </c>
      <c r="E17" s="615"/>
      <c r="F17" s="615"/>
      <c r="G17" s="615"/>
      <c r="H17" s="615"/>
      <c r="I17" s="615"/>
      <c r="M17" s="2"/>
      <c r="N17" s="2"/>
    </row>
    <row r="18" spans="2:38">
      <c r="B18" s="626" t="s">
        <v>520</v>
      </c>
      <c r="C18" s="626"/>
      <c r="D18" s="75" t="s">
        <v>230</v>
      </c>
      <c r="E18" s="213">
        <f>SUM(E14:E17)</f>
        <v>0</v>
      </c>
      <c r="F18" s="214">
        <f t="shared" ref="F18:I18" si="2">SUM(F14:F17)</f>
        <v>0</v>
      </c>
      <c r="G18" s="214">
        <f t="shared" si="2"/>
        <v>0</v>
      </c>
      <c r="H18" s="214">
        <f t="shared" si="2"/>
        <v>0</v>
      </c>
      <c r="I18" s="214">
        <f t="shared" si="2"/>
        <v>0</v>
      </c>
      <c r="M18" s="2"/>
      <c r="N18" s="2"/>
    </row>
    <row r="19" spans="2:38">
      <c r="B19" s="146"/>
      <c r="C19" s="146"/>
      <c r="D19" s="146"/>
      <c r="E19" s="627"/>
      <c r="F19" s="627"/>
      <c r="G19" s="627"/>
      <c r="H19" s="627"/>
      <c r="I19" s="627"/>
    </row>
    <row r="20" spans="2:38">
      <c r="B20" s="6" t="s">
        <v>440</v>
      </c>
      <c r="C20" s="6"/>
      <c r="D20" s="75"/>
      <c r="E20" s="75"/>
      <c r="F20" s="628"/>
      <c r="G20" s="628"/>
      <c r="H20" s="628"/>
      <c r="I20" s="628"/>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row>
    <row r="21" spans="2:38">
      <c r="B21" s="146" t="s">
        <v>521</v>
      </c>
      <c r="C21" s="629"/>
      <c r="D21" s="75" t="s">
        <v>230</v>
      </c>
      <c r="E21" s="522">
        <f>('R4 - Incentives and Other Rev'!D67+'R4 - Incentives and Other Rev'!D40+'R4 - Incentives and Other Rev'!D47)/(1-INDEX(Corporate_Tax,MATCH($E$6,Data!$C$15:$N$15,0)))*INDEX(Corporate_Tax,MATCH($E$6,Data!$C$15:$N$15,0))</f>
        <v>0.25377822355180346</v>
      </c>
      <c r="F21" s="522">
        <f>('R4 - Incentives and Other Rev'!E67+'R4 - Incentives and Other Rev'!E40+'R4 - Incentives and Other Rev'!E47)/(1-INDEX(Corporate_Tax,MATCH($E$6,Data!$C$15:$N$15,0)))*INDEX(Corporate_Tax,MATCH($E$6,Data!$C$15:$N$15,0))</f>
        <v>0.39759084460765598</v>
      </c>
      <c r="G21" s="522">
        <f>('R4 - Incentives and Other Rev'!F67+'R4 - Incentives and Other Rev'!F40+'R4 - Incentives and Other Rev'!F47)/(1-INDEX(Corporate_Tax,MATCH($E$6,Data!$C$15:$N$15,0)))*INDEX(Corporate_Tax,MATCH($E$6,Data!$C$15:$N$15,0))</f>
        <v>0.46142334437824384</v>
      </c>
      <c r="H21" s="522">
        <f>('R4 - Incentives and Other Rev'!G67+'R4 - Incentives and Other Rev'!G40+'R4 - Incentives and Other Rev'!G47)/(1-INDEX(Corporate_Tax,MATCH($E$6,Data!$C$15:$N$15,0)))*INDEX(Corporate_Tax,MATCH($E$6,Data!$C$15:$N$15,0))</f>
        <v>0.46142334437824384</v>
      </c>
      <c r="I21" s="522">
        <f>('R4 - Incentives and Other Rev'!H67+'R4 - Incentives and Other Rev'!H40+'R4 - Incentives and Other Rev'!H47)/(1-INDEX(Corporate_Tax,MATCH($E$6,Data!$C$15:$N$15,0)))*INDEX(Corporate_Tax,MATCH($E$6,Data!$C$15:$N$15,0))</f>
        <v>0.46142334437824384</v>
      </c>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row>
    <row r="22" spans="2:38">
      <c r="B22" s="146" t="s">
        <v>522</v>
      </c>
      <c r="C22" s="146"/>
      <c r="D22" s="75" t="s">
        <v>230</v>
      </c>
      <c r="E22" s="615"/>
      <c r="F22" s="615"/>
      <c r="G22" s="615"/>
      <c r="H22" s="615"/>
      <c r="I22" s="615"/>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row>
    <row r="23" spans="2:38">
      <c r="B23" s="146" t="s">
        <v>523</v>
      </c>
      <c r="C23" s="146"/>
      <c r="D23" s="75" t="s">
        <v>230</v>
      </c>
      <c r="E23" s="615"/>
      <c r="F23" s="615"/>
      <c r="G23" s="615"/>
      <c r="H23" s="615"/>
      <c r="I23" s="615"/>
    </row>
    <row r="24" spans="2:38">
      <c r="B24" s="146" t="s">
        <v>524</v>
      </c>
      <c r="C24" s="146"/>
      <c r="D24" s="75" t="s">
        <v>230</v>
      </c>
      <c r="E24" s="615"/>
      <c r="F24" s="615"/>
      <c r="G24" s="615"/>
      <c r="H24" s="615"/>
      <c r="I24" s="615"/>
    </row>
    <row r="25" spans="2:38">
      <c r="B25" s="146" t="s">
        <v>525</v>
      </c>
      <c r="C25" s="146"/>
      <c r="D25" s="75" t="s">
        <v>230</v>
      </c>
      <c r="E25" s="615"/>
      <c r="F25" s="615"/>
      <c r="G25" s="615"/>
      <c r="H25" s="615"/>
      <c r="I25" s="615"/>
    </row>
    <row r="26" spans="2:38">
      <c r="B26" s="146" t="s">
        <v>526</v>
      </c>
      <c r="C26" s="146"/>
      <c r="D26" s="75" t="s">
        <v>230</v>
      </c>
      <c r="E26" s="615"/>
      <c r="F26" s="615"/>
      <c r="G26" s="615"/>
      <c r="H26" s="615"/>
      <c r="I26" s="615"/>
    </row>
    <row r="27" spans="2:38">
      <c r="B27" s="146" t="s">
        <v>526</v>
      </c>
      <c r="C27" s="146"/>
      <c r="D27" s="75" t="s">
        <v>230</v>
      </c>
      <c r="E27" s="615"/>
      <c r="F27" s="615"/>
      <c r="G27" s="615"/>
      <c r="H27" s="615"/>
      <c r="I27" s="615"/>
    </row>
    <row r="28" spans="2:38">
      <c r="B28" s="146" t="s">
        <v>526</v>
      </c>
      <c r="C28" s="146"/>
      <c r="D28" s="75" t="s">
        <v>230</v>
      </c>
      <c r="E28" s="615"/>
      <c r="F28" s="615"/>
      <c r="G28" s="615"/>
      <c r="H28" s="615"/>
      <c r="I28" s="615"/>
    </row>
    <row r="29" spans="2:38">
      <c r="B29" s="146" t="s">
        <v>526</v>
      </c>
      <c r="C29" s="146"/>
      <c r="D29" s="75" t="s">
        <v>230</v>
      </c>
      <c r="E29" s="615"/>
      <c r="F29" s="615"/>
      <c r="G29" s="615"/>
      <c r="H29" s="615"/>
      <c r="I29" s="615"/>
    </row>
    <row r="30" spans="2:38">
      <c r="B30" s="146" t="s">
        <v>527</v>
      </c>
      <c r="C30" s="146"/>
      <c r="D30" s="75" t="s">
        <v>230</v>
      </c>
      <c r="E30" s="615"/>
      <c r="F30" s="615"/>
      <c r="G30" s="615"/>
      <c r="H30" s="615"/>
      <c r="I30" s="615"/>
    </row>
    <row r="31" spans="2:38">
      <c r="B31" s="6" t="s">
        <v>267</v>
      </c>
      <c r="C31" s="6"/>
      <c r="D31" s="75" t="s">
        <v>230</v>
      </c>
      <c r="E31" s="237">
        <f>SUM(E21:E30)</f>
        <v>0.25377822355180346</v>
      </c>
      <c r="F31" s="630">
        <f>SUM(F21:F30)</f>
        <v>0.39759084460765598</v>
      </c>
      <c r="G31" s="630">
        <f>SUM(G21:G30)</f>
        <v>0.46142334437824384</v>
      </c>
      <c r="H31" s="630">
        <f>SUM(H21:H30)</f>
        <v>0.46142334437824384</v>
      </c>
      <c r="I31" s="630">
        <f>SUM(I21:I30)</f>
        <v>0.46142334437824384</v>
      </c>
    </row>
    <row r="33" spans="2:11" ht="25.5" customHeight="1">
      <c r="B33" s="378" t="s">
        <v>528</v>
      </c>
      <c r="D33" s="75" t="s">
        <v>230</v>
      </c>
      <c r="E33" s="615">
        <v>24.482199117312696</v>
      </c>
      <c r="F33" s="615">
        <v>31.646457524460704</v>
      </c>
      <c r="G33" s="615">
        <v>36.029071977554615</v>
      </c>
      <c r="H33" s="615">
        <v>41.83427653204857</v>
      </c>
      <c r="I33" s="615">
        <v>42.06508661525924</v>
      </c>
    </row>
    <row r="34" spans="2:11" ht="12.75" customHeight="1">
      <c r="B34" s="378" t="s">
        <v>529</v>
      </c>
      <c r="C34" s="378"/>
      <c r="D34" s="75" t="s">
        <v>230</v>
      </c>
      <c r="E34" s="237">
        <f>E11+E33-E18-E31</f>
        <v>24.228420893760891</v>
      </c>
      <c r="F34" s="237">
        <f>F11+F33-F18-F31</f>
        <v>31.248866679853048</v>
      </c>
      <c r="G34" s="237">
        <f>G11+G33-G18-G31</f>
        <v>35.567648633176368</v>
      </c>
      <c r="H34" s="237">
        <f>H11+H33-H18-H31</f>
        <v>41.372853187670323</v>
      </c>
      <c r="I34" s="237">
        <f>I11+I33-I18-I31</f>
        <v>41.603663270880993</v>
      </c>
    </row>
    <row r="35" spans="2:11" ht="12.75" customHeight="1">
      <c r="B35" s="377"/>
      <c r="C35" s="377"/>
      <c r="D35" s="75"/>
      <c r="E35" s="531"/>
      <c r="F35" s="531"/>
      <c r="G35" s="531"/>
      <c r="H35" s="531"/>
      <c r="I35" s="531"/>
    </row>
    <row r="36" spans="2:11">
      <c r="B36" t="s">
        <v>418</v>
      </c>
      <c r="D36" s="90" t="s">
        <v>419</v>
      </c>
      <c r="E36" s="59">
        <f t="shared" ref="E36:I36" si="3">INDEX(real_to_nominal_CF,MATCH(E$6,calendar_year,0))</f>
        <v>1.0847835302284383</v>
      </c>
      <c r="F36" s="59">
        <f t="shared" si="3"/>
        <v>1.1682111694202062</v>
      </c>
      <c r="G36" s="59">
        <f t="shared" si="3"/>
        <v>1.2070548174037865</v>
      </c>
      <c r="H36" s="59">
        <f t="shared" si="3"/>
        <v>1.2275072378847331</v>
      </c>
      <c r="I36" s="59">
        <f t="shared" si="3"/>
        <v>1.2509585044470788</v>
      </c>
    </row>
    <row r="37" spans="2:11">
      <c r="B37" s="377"/>
      <c r="C37" s="377"/>
      <c r="D37" s="75"/>
      <c r="E37" s="75"/>
      <c r="F37" s="75"/>
      <c r="G37" s="75"/>
      <c r="H37" s="75"/>
      <c r="I37" s="75"/>
    </row>
    <row r="38" spans="2:11">
      <c r="B38" s="378" t="s">
        <v>530</v>
      </c>
      <c r="C38" s="378"/>
      <c r="D38" s="94" t="str">
        <f>Data!$C$9</f>
        <v>£m 18/19</v>
      </c>
      <c r="E38" s="237">
        <f>Adjusted_regulated_tax_liability/E36</f>
        <v>22.334797882356092</v>
      </c>
      <c r="F38" s="237">
        <f>Adjusted_regulated_tax_liability/F36</f>
        <v>26.74933051304598</v>
      </c>
      <c r="G38" s="237">
        <f>Adjusted_regulated_tax_liability/G36</f>
        <v>29.466473370014484</v>
      </c>
      <c r="H38" s="237">
        <f>Adjusted_regulated_tax_liability/H36</f>
        <v>33.70477330868119</v>
      </c>
      <c r="I38" s="237">
        <f>Adjusted_regulated_tax_liability/I36</f>
        <v>33.257428702057332</v>
      </c>
    </row>
    <row r="39" spans="2:11">
      <c r="B39" s="378"/>
      <c r="C39" s="378"/>
      <c r="D39" s="378"/>
      <c r="E39" s="378"/>
      <c r="F39" s="378"/>
      <c r="G39" s="378"/>
      <c r="H39" s="378"/>
      <c r="I39" s="378"/>
    </row>
    <row r="40" spans="2:11">
      <c r="B40" s="258" t="s">
        <v>531</v>
      </c>
      <c r="C40" s="258"/>
      <c r="D40" s="94"/>
      <c r="E40" s="94"/>
      <c r="F40" s="94"/>
      <c r="G40" s="94"/>
      <c r="H40" s="94"/>
      <c r="I40" s="94"/>
    </row>
    <row r="41" spans="2:11">
      <c r="B41" s="145" t="s">
        <v>425</v>
      </c>
      <c r="C41" s="145"/>
      <c r="D41" s="378"/>
      <c r="E41" s="378"/>
      <c r="F41" s="378"/>
      <c r="G41" s="378"/>
      <c r="H41" s="378"/>
      <c r="I41" s="378"/>
      <c r="K41" s="378"/>
    </row>
    <row r="42" spans="2:11">
      <c r="K42" s="378"/>
    </row>
    <row r="43" spans="2:11" ht="12.75" customHeight="1">
      <c r="B43" s="88" t="s">
        <v>24</v>
      </c>
      <c r="C43" s="88"/>
      <c r="D43" s="38" t="s">
        <v>194</v>
      </c>
      <c r="E43" s="286">
        <v>0.6</v>
      </c>
      <c r="F43" s="287">
        <v>0.6</v>
      </c>
      <c r="G43" s="287">
        <v>0.6</v>
      </c>
      <c r="H43" s="287">
        <v>0.6</v>
      </c>
      <c r="I43" s="287">
        <v>0.6</v>
      </c>
      <c r="K43" s="378"/>
    </row>
    <row r="44" spans="2:11" ht="12.75" customHeight="1">
      <c r="B44" s="88" t="s">
        <v>426</v>
      </c>
      <c r="C44" s="88"/>
      <c r="D44" s="38" t="s">
        <v>194</v>
      </c>
      <c r="E44" s="286">
        <v>0.57153912568649412</v>
      </c>
      <c r="F44" s="287">
        <v>0.62631033358018595</v>
      </c>
      <c r="G44" s="287">
        <v>0.63444826374598939</v>
      </c>
      <c r="H44" s="287">
        <v>0.61605700341622494</v>
      </c>
      <c r="I44" s="287">
        <v>0.60229618595557288</v>
      </c>
      <c r="K44" s="378"/>
    </row>
    <row r="45" spans="2:11" ht="12.75" customHeight="1">
      <c r="B45" s="88"/>
      <c r="C45" s="88"/>
      <c r="D45" s="38"/>
      <c r="E45" s="38"/>
      <c r="F45" s="38"/>
      <c r="G45" s="38"/>
      <c r="H45" s="38"/>
      <c r="I45" s="38"/>
      <c r="K45" s="378"/>
    </row>
    <row r="46" spans="2:11" ht="12.75" customHeight="1">
      <c r="B46" s="378" t="s">
        <v>530</v>
      </c>
      <c r="C46" s="378"/>
      <c r="D46" s="75" t="s">
        <v>230</v>
      </c>
      <c r="E46" s="237">
        <f>E34</f>
        <v>24.228420893760891</v>
      </c>
      <c r="F46" s="237">
        <f>F34</f>
        <v>31.248866679853048</v>
      </c>
      <c r="G46" s="237">
        <f>G34</f>
        <v>35.567648633176368</v>
      </c>
      <c r="H46" s="237">
        <f>H34</f>
        <v>41.372853187670323</v>
      </c>
      <c r="I46" s="237">
        <f>I34</f>
        <v>41.603663270880993</v>
      </c>
      <c r="K46" s="378"/>
    </row>
    <row r="47" spans="2:11">
      <c r="B47" s="88" t="s">
        <v>532</v>
      </c>
      <c r="C47" s="88"/>
      <c r="D47" s="75" t="s">
        <v>230</v>
      </c>
      <c r="E47" s="237">
        <f>E64-E66</f>
        <v>9.5956571876427255E-2</v>
      </c>
      <c r="F47" s="237">
        <f t="shared" ref="F47:I47" si="4">F64-F66</f>
        <v>0.23061902102296727</v>
      </c>
      <c r="G47" s="237">
        <f t="shared" si="4"/>
        <v>-0.21846770171528407</v>
      </c>
      <c r="H47" s="237">
        <f t="shared" si="4"/>
        <v>-0.15833555172677927</v>
      </c>
      <c r="I47" s="237">
        <f t="shared" si="4"/>
        <v>-2.0211672351286403E-2</v>
      </c>
      <c r="K47" s="378"/>
    </row>
    <row r="48" spans="2:11">
      <c r="B48" s="88" t="s">
        <v>533</v>
      </c>
      <c r="C48" s="88"/>
      <c r="D48" s="75" t="s">
        <v>230</v>
      </c>
      <c r="E48" s="237">
        <f>SUM(E46:E47)</f>
        <v>24.324377465637319</v>
      </c>
      <c r="F48" s="237">
        <f t="shared" ref="F48:I48" si="5">SUM(F46:F47)</f>
        <v>31.479485700876015</v>
      </c>
      <c r="G48" s="237">
        <f t="shared" si="5"/>
        <v>35.349180931461085</v>
      </c>
      <c r="H48" s="237">
        <f t="shared" si="5"/>
        <v>41.214517635943544</v>
      </c>
      <c r="I48" s="237">
        <f t="shared" si="5"/>
        <v>41.583451598529706</v>
      </c>
    </row>
    <row r="50" spans="2:11">
      <c r="B50" s="88" t="s">
        <v>533</v>
      </c>
      <c r="C50" s="88"/>
      <c r="D50" s="94" t="str">
        <f>Data!$C$9</f>
        <v>£m 18/19</v>
      </c>
      <c r="E50" s="237">
        <f>E48/E36</f>
        <v>22.423254767257564</v>
      </c>
      <c r="F50" s="237">
        <f t="shared" ref="F50:I50" si="6">F48/F36</f>
        <v>26.94674261375156</v>
      </c>
      <c r="G50" s="237">
        <f t="shared" si="6"/>
        <v>29.285481008635916</v>
      </c>
      <c r="H50" s="237">
        <f t="shared" si="6"/>
        <v>33.575783803088029</v>
      </c>
      <c r="I50" s="237">
        <f t="shared" si="6"/>
        <v>33.24127175338203</v>
      </c>
    </row>
    <row r="52" spans="2:11">
      <c r="B52" s="244" t="s">
        <v>534</v>
      </c>
      <c r="C52" s="244"/>
      <c r="D52" s="245"/>
      <c r="E52" s="245"/>
      <c r="F52" s="245"/>
      <c r="G52" s="245"/>
      <c r="H52" s="245"/>
      <c r="I52" s="245"/>
      <c r="J52" s="245"/>
      <c r="K52" s="378"/>
    </row>
    <row r="53" spans="2:11" ht="12.75" customHeight="1">
      <c r="D53" s="94"/>
      <c r="E53" s="738"/>
      <c r="F53" s="738"/>
      <c r="G53" s="738"/>
      <c r="H53" s="738"/>
      <c r="I53" s="738"/>
    </row>
    <row r="54" spans="2:11">
      <c r="B54" t="s">
        <v>535</v>
      </c>
      <c r="D54" s="94" t="str">
        <f>Data!$C$9</f>
        <v>£m 18/19</v>
      </c>
      <c r="E54" s="600">
        <v>21.832189382099166</v>
      </c>
      <c r="F54" s="600">
        <v>18.282916861470156</v>
      </c>
      <c r="G54" s="600">
        <v>36.141407688018013</v>
      </c>
      <c r="H54" s="600">
        <v>35.811409991977975</v>
      </c>
      <c r="I54" s="600">
        <v>34.784141480435252</v>
      </c>
    </row>
    <row r="55" spans="2:11">
      <c r="D55" s="94"/>
      <c r="E55" s="94"/>
      <c r="F55" s="94"/>
      <c r="G55" s="94"/>
      <c r="H55" s="94"/>
      <c r="I55" s="94"/>
      <c r="J55" s="94"/>
    </row>
    <row r="56" spans="2:11">
      <c r="B56" s="261" t="s">
        <v>434</v>
      </c>
      <c r="C56" s="261"/>
      <c r="D56" s="261"/>
      <c r="E56" s="261"/>
      <c r="F56" s="261"/>
      <c r="G56" s="261"/>
      <c r="H56" s="261"/>
      <c r="I56" s="261"/>
      <c r="J56" s="261"/>
    </row>
    <row r="58" spans="2:11">
      <c r="B58" s="6" t="s">
        <v>536</v>
      </c>
      <c r="C58" s="6"/>
      <c r="D58" s="95" t="str">
        <f>Data!$C$9</f>
        <v>£m 18/19</v>
      </c>
      <c r="E58" s="208">
        <f>E$54-E38</f>
        <v>-0.50260850025692605</v>
      </c>
      <c r="F58" s="208">
        <f>F$54-F38</f>
        <v>-8.4664136515758237</v>
      </c>
      <c r="G58" s="208">
        <f>G$54-G38</f>
        <v>6.6749343180035297</v>
      </c>
      <c r="H58" s="208">
        <f>H$54-H38</f>
        <v>2.1066366832967844</v>
      </c>
      <c r="I58" s="208">
        <f>I$54-I38</f>
        <v>1.5267127783779202</v>
      </c>
    </row>
    <row r="59" spans="2:11">
      <c r="B59" s="6"/>
      <c r="C59" s="6"/>
      <c r="D59" s="6"/>
      <c r="E59" s="6"/>
      <c r="F59" s="6"/>
      <c r="G59" s="6"/>
      <c r="H59" s="6"/>
      <c r="I59" s="6"/>
    </row>
    <row r="60" spans="2:11">
      <c r="B60" s="6" t="s">
        <v>537</v>
      </c>
      <c r="C60" s="6"/>
      <c r="D60" s="95" t="str">
        <f>Data!$C$9</f>
        <v>£m 18/19</v>
      </c>
      <c r="E60" s="208">
        <f>E$54-E50</f>
        <v>-0.59106538515839802</v>
      </c>
      <c r="F60" s="208">
        <f>F$54-F50</f>
        <v>-8.6638257522814044</v>
      </c>
      <c r="G60" s="208">
        <f>G$54-G50</f>
        <v>6.8559266793820974</v>
      </c>
      <c r="H60" s="208">
        <f>H$54-H50</f>
        <v>2.2356261888899454</v>
      </c>
      <c r="I60" s="208">
        <f>I$54-I50</f>
        <v>1.5428697270532226</v>
      </c>
    </row>
    <row r="62" spans="2:11">
      <c r="B62" s="6" t="s">
        <v>538</v>
      </c>
      <c r="C62" s="6"/>
      <c r="D62" s="95" t="str">
        <f>Data!$C$9</f>
        <v>£m 18/19</v>
      </c>
      <c r="E62" s="208">
        <f>E58-E60</f>
        <v>8.8456884901471966E-2</v>
      </c>
      <c r="F62" s="209">
        <f t="shared" ref="F62:I62" si="7">F58-F60</f>
        <v>0.19741210070558068</v>
      </c>
      <c r="G62" s="209">
        <f t="shared" si="7"/>
        <v>-0.18099236137856778</v>
      </c>
      <c r="H62" s="209">
        <f t="shared" si="7"/>
        <v>-0.12898950559316091</v>
      </c>
      <c r="I62" s="209">
        <f t="shared" si="7"/>
        <v>-1.6156948675302374E-2</v>
      </c>
    </row>
    <row r="64" spans="2:11">
      <c r="B64" t="s">
        <v>539</v>
      </c>
      <c r="D64" s="75" t="s">
        <v>230</v>
      </c>
      <c r="E64" s="665">
        <f>('R5 - Financing'!D83*INDEX(Corporate_Tax,MATCH(E$6,Data!$C$15:$N$15,0))*'R8 - Tax'!E$36)</f>
        <v>3.8836778482820047</v>
      </c>
      <c r="F64" s="665">
        <f>('R5 - Financing'!E83*INDEX(Corporate_Tax,MATCH(F$6,Data!$C$15:$N$15,0))*'R8 - Tax'!F$36)</f>
        <v>11.375571380961041</v>
      </c>
      <c r="G64" s="665">
        <f>('R5 - Financing'!F83*INDEX(Corporate_Tax,MATCH(G$6,Data!$C$15:$N$15,0))*'R8 - Tax'!G$36)</f>
        <v>3.7548766142514873</v>
      </c>
      <c r="H64" s="665">
        <f>('R5 - Financing'!G83*INDEX(Corporate_Tax,MATCH(H$6,Data!$C$15:$N$15,0))*'R8 - Tax'!H$36)</f>
        <v>1.6563860920111571</v>
      </c>
      <c r="I64" s="665">
        <f>('R5 - Financing'!H83*INDEX(Corporate_Tax,MATCH(I$6,Data!$C$15:$N$15,0))*'R8 - Tax'!I$36)</f>
        <v>2.4371740949323932</v>
      </c>
      <c r="J64" t="s">
        <v>540</v>
      </c>
    </row>
    <row r="65" spans="2:10">
      <c r="B65" t="s">
        <v>539</v>
      </c>
      <c r="D65" s="94" t="str">
        <f>Data!$C$9</f>
        <v>£m 18/19</v>
      </c>
      <c r="E65" s="237">
        <f>E64/E$36</f>
        <v>3.5801408668733781</v>
      </c>
      <c r="F65" s="237">
        <f t="shared" ref="F65:I65" si="8">F64/F$36</f>
        <v>9.7375985427419263</v>
      </c>
      <c r="G65" s="237">
        <f t="shared" si="8"/>
        <v>3.1107755506313497</v>
      </c>
      <c r="H65" s="237">
        <f t="shared" si="8"/>
        <v>1.3493900816955484</v>
      </c>
      <c r="I65" s="237">
        <f t="shared" si="8"/>
        <v>1.9482453544769012</v>
      </c>
    </row>
    <row r="66" spans="2:10">
      <c r="B66" t="s">
        <v>541</v>
      </c>
      <c r="D66" s="75" t="s">
        <v>230</v>
      </c>
      <c r="E66" s="665">
        <f>('R5 - Financing'!D85*INDEX(Corporate_Tax,MATCH(E$6,Data!$C$15:$N$15,0))*'R8 - Tax'!E$36)</f>
        <v>3.7877212764055774</v>
      </c>
      <c r="F66" s="665">
        <f>('R5 - Financing'!E85*INDEX(Corporate_Tax,MATCH(F$6,Data!$C$15:$N$15,0))*'R8 - Tax'!F$36)</f>
        <v>11.144952359938074</v>
      </c>
      <c r="G66" s="665">
        <f>('R5 - Financing'!F85*INDEX(Corporate_Tax,MATCH(G$6,Data!$C$15:$N$15,0))*'R8 - Tax'!G$36)</f>
        <v>3.9733443159667714</v>
      </c>
      <c r="H66" s="665">
        <f>('R5 - Financing'!G85*INDEX(Corporate_Tax,MATCH(H$6,Data!$C$15:$N$15,0))*'R8 - Tax'!H$36)</f>
        <v>1.8147216437379363</v>
      </c>
      <c r="I66" s="665">
        <f>('R5 - Financing'!H85*INDEX(Corporate_Tax,MATCH(I$6,Data!$C$15:$N$15,0))*'R8 - Tax'!I$36)</f>
        <v>2.4573857672836796</v>
      </c>
      <c r="J66" t="s">
        <v>540</v>
      </c>
    </row>
    <row r="67" spans="2:10">
      <c r="B67" t="s">
        <v>541</v>
      </c>
      <c r="D67" s="94" t="str">
        <f>Data!$C$9</f>
        <v>£m 18/19</v>
      </c>
      <c r="E67" s="237">
        <f>E66/E$36</f>
        <v>3.4916839819719083</v>
      </c>
      <c r="F67" s="237">
        <f t="shared" ref="F67:I67" si="9">F66/F$36</f>
        <v>9.5401864420363438</v>
      </c>
      <c r="G67" s="237">
        <f t="shared" si="9"/>
        <v>3.2917679120099148</v>
      </c>
      <c r="H67" s="237">
        <f t="shared" si="9"/>
        <v>1.4783795872887102</v>
      </c>
      <c r="I67" s="237">
        <f t="shared" si="9"/>
        <v>1.9644023031522051</v>
      </c>
    </row>
    <row r="68" spans="2:10">
      <c r="B68" t="s">
        <v>542</v>
      </c>
      <c r="D68" s="94" t="str">
        <f>Data!$C$9</f>
        <v>£m 18/19</v>
      </c>
      <c r="E68" s="237">
        <f>E65-E67</f>
        <v>8.8456884901469746E-2</v>
      </c>
      <c r="F68" s="237">
        <f t="shared" ref="F68:I68" si="10">F65-F67</f>
        <v>0.19741210070558246</v>
      </c>
      <c r="G68" s="237">
        <f t="shared" si="10"/>
        <v>-0.18099236137856511</v>
      </c>
      <c r="H68" s="237">
        <f t="shared" si="10"/>
        <v>-0.1289895055931618</v>
      </c>
      <c r="I68" s="237">
        <f t="shared" si="10"/>
        <v>-1.6156948675303928E-2</v>
      </c>
    </row>
  </sheetData>
  <mergeCells count="1">
    <mergeCell ref="B9:I9"/>
  </mergeCells>
  <phoneticPr fontId="251" type="noConversion"/>
  <conditionalFormatting sqref="E7:I7">
    <cfRule type="expression" dxfId="37" priority="15">
      <formula>AND(E$5="Actuals",F$5="Forecast")</formula>
    </cfRule>
  </conditionalFormatting>
  <conditionalFormatting sqref="E21:I30">
    <cfRule type="expression" dxfId="36" priority="13">
      <formula>E$5="Forecast"</formula>
    </cfRule>
  </conditionalFormatting>
  <conditionalFormatting sqref="E11:I11">
    <cfRule type="expression" dxfId="35" priority="10">
      <formula>E$5="Forecast"</formula>
    </cfRule>
  </conditionalFormatting>
  <conditionalFormatting sqref="E14:I17">
    <cfRule type="expression" dxfId="34" priority="7">
      <formula>E$5="Forecast"</formula>
    </cfRule>
  </conditionalFormatting>
  <pageMargins left="0.70866141732283472" right="0.70866141732283472" top="0.74803149606299213" bottom="0.74803149606299213" header="0.31496062992125984" footer="0.31496062992125984"/>
  <pageSetup paperSize="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B54B1-505F-4D02-868C-C77F2B703BD0}">
  <sheetPr>
    <tabColor rgb="FFFFFFCC"/>
    <pageSetUpPr fitToPage="1"/>
  </sheetPr>
  <dimension ref="A1:W101"/>
  <sheetViews>
    <sheetView showGridLines="0" view="pageBreakPreview" zoomScale="85" zoomScaleNormal="85" zoomScaleSheetLayoutView="85" workbookViewId="0">
      <pane xSplit="2" ySplit="9" topLeftCell="C10" activePane="bottomRight" state="frozen"/>
      <selection pane="topRight" activeCell="B27" sqref="B27"/>
      <selection pane="bottomLeft" activeCell="B27" sqref="B27"/>
      <selection pane="bottomRight" activeCell="H84" sqref="H84:I85"/>
    </sheetView>
  </sheetViews>
  <sheetFormatPr defaultColWidth="9.234375" defaultRowHeight="14.25"/>
  <cols>
    <col min="1" max="1" width="27" style="673" customWidth="1"/>
    <col min="2" max="2" width="51.234375" style="673" customWidth="1"/>
    <col min="3" max="3" width="14.1171875" style="673" customWidth="1"/>
    <col min="4" max="5" width="16.234375" style="673" customWidth="1"/>
    <col min="6" max="6" width="3.76171875" style="673" customWidth="1"/>
    <col min="7" max="7" width="48.87890625" style="673" customWidth="1"/>
    <col min="8" max="9" width="15.64453125" style="673" customWidth="1"/>
    <col min="10" max="10" width="3.234375" style="673" customWidth="1"/>
    <col min="11" max="11" width="17.46875" style="673" customWidth="1"/>
    <col min="12" max="12" width="3.1171875" style="673" customWidth="1"/>
    <col min="13" max="13" width="56.234375" style="673" customWidth="1"/>
    <col min="14" max="14" width="2.234375" style="673" customWidth="1"/>
    <col min="15" max="16384" width="9.234375" style="673"/>
  </cols>
  <sheetData>
    <row r="1" spans="1:13" ht="20.65">
      <c r="A1" s="777" t="s">
        <v>543</v>
      </c>
      <c r="B1" s="777"/>
      <c r="C1" s="290"/>
      <c r="D1" s="290"/>
      <c r="E1" s="290"/>
      <c r="F1" s="672"/>
      <c r="G1" s="290"/>
      <c r="H1" s="290"/>
      <c r="I1" s="769"/>
      <c r="K1" s="290"/>
      <c r="L1" s="672"/>
      <c r="M1" s="290"/>
    </row>
    <row r="2" spans="1:13" ht="20.65">
      <c r="A2" s="290"/>
      <c r="B2" s="290"/>
      <c r="C2" s="290"/>
      <c r="D2" s="290"/>
      <c r="E2" s="290"/>
      <c r="F2" s="672"/>
      <c r="G2" s="290"/>
      <c r="H2" s="290"/>
      <c r="I2" s="770"/>
      <c r="K2" s="290"/>
      <c r="L2" s="672"/>
      <c r="M2" s="290"/>
    </row>
    <row r="3" spans="1:13" ht="20.65">
      <c r="A3" s="290" t="s">
        <v>544</v>
      </c>
      <c r="B3" s="290" t="str">
        <f>Licensee</f>
        <v>Cadent-NW</v>
      </c>
      <c r="C3" s="290"/>
      <c r="D3" s="290"/>
      <c r="E3" s="290"/>
      <c r="F3" s="672"/>
      <c r="G3" s="290"/>
      <c r="H3" s="290"/>
      <c r="I3" s="770"/>
      <c r="K3" s="290"/>
      <c r="L3" s="672"/>
      <c r="M3" s="290"/>
    </row>
    <row r="4" spans="1:13" ht="20.65">
      <c r="A4" s="290" t="s">
        <v>6</v>
      </c>
      <c r="B4" s="290" t="str">
        <f>Sector</f>
        <v>GD2</v>
      </c>
      <c r="C4" s="290"/>
      <c r="D4" s="290"/>
      <c r="E4" s="290"/>
      <c r="F4" s="672"/>
      <c r="G4" s="290"/>
      <c r="H4" s="290"/>
      <c r="I4" s="770"/>
      <c r="K4" s="290"/>
      <c r="L4" s="672"/>
      <c r="M4" s="290"/>
    </row>
    <row r="5" spans="1:13" ht="20.65">
      <c r="A5" s="290" t="s">
        <v>545</v>
      </c>
      <c r="B5" s="524">
        <f>INDEX(Data!$C$14:$N$14,MATCH($B$6,Data!$C$15:$N$15,0))</f>
        <v>44286</v>
      </c>
      <c r="C5" s="290"/>
      <c r="D5" s="290"/>
      <c r="E5" s="290"/>
      <c r="F5" s="672"/>
      <c r="G5" s="290"/>
      <c r="H5" s="290"/>
      <c r="I5" s="770"/>
      <c r="K5" s="290"/>
      <c r="L5" s="672"/>
      <c r="M5" s="290"/>
    </row>
    <row r="6" spans="1:13" ht="20.65">
      <c r="A6" s="290" t="s">
        <v>32</v>
      </c>
      <c r="B6" s="290">
        <f>Reporting_Year-1</f>
        <v>2021</v>
      </c>
      <c r="C6" s="290"/>
      <c r="D6" s="290"/>
      <c r="E6" s="290"/>
      <c r="F6" s="672"/>
      <c r="G6" s="290"/>
      <c r="H6" s="290"/>
      <c r="I6" s="770"/>
      <c r="K6" s="290"/>
      <c r="L6" s="672"/>
      <c r="M6" s="290"/>
    </row>
    <row r="7" spans="1:13" ht="28.5" customHeight="1">
      <c r="A7" s="869" t="s">
        <v>546</v>
      </c>
      <c r="B7" s="869"/>
      <c r="C7" s="290"/>
      <c r="D7" s="290"/>
      <c r="E7" s="290"/>
      <c r="F7" s="672"/>
      <c r="G7" s="290"/>
      <c r="H7" s="290"/>
      <c r="I7" s="771"/>
      <c r="K7" s="290"/>
      <c r="L7" s="672"/>
      <c r="M7" s="290"/>
    </row>
    <row r="8" spans="1:13" ht="86.25" customHeight="1">
      <c r="A8" s="870" t="s">
        <v>547</v>
      </c>
      <c r="B8" s="871"/>
      <c r="C8" s="865" t="s">
        <v>548</v>
      </c>
      <c r="D8" s="788" t="s">
        <v>549</v>
      </c>
      <c r="E8" s="788" t="s">
        <v>550</v>
      </c>
      <c r="F8" s="674"/>
      <c r="G8" s="874" t="s">
        <v>551</v>
      </c>
      <c r="H8" s="772" t="s">
        <v>552</v>
      </c>
      <c r="I8" s="772" t="s">
        <v>553</v>
      </c>
      <c r="J8" s="674"/>
      <c r="K8" s="772" t="s">
        <v>554</v>
      </c>
      <c r="L8" s="674"/>
      <c r="M8" s="865" t="s">
        <v>555</v>
      </c>
    </row>
    <row r="9" spans="1:13" ht="15.75" customHeight="1">
      <c r="A9" s="872"/>
      <c r="B9" s="873"/>
      <c r="C9" s="866"/>
      <c r="D9" s="675" t="s">
        <v>439</v>
      </c>
      <c r="E9" s="675" t="s">
        <v>439</v>
      </c>
      <c r="F9" s="676"/>
      <c r="G9" s="875"/>
      <c r="H9" s="675" t="s">
        <v>439</v>
      </c>
      <c r="I9" s="675" t="s">
        <v>439</v>
      </c>
      <c r="J9" s="676"/>
      <c r="K9" s="675" t="s">
        <v>439</v>
      </c>
      <c r="M9" s="866"/>
    </row>
    <row r="10" spans="1:13" ht="15.75" customHeight="1">
      <c r="A10" s="677"/>
      <c r="B10" s="677"/>
      <c r="C10" s="677"/>
      <c r="D10" s="676"/>
      <c r="E10" s="676"/>
      <c r="F10" s="676"/>
      <c r="G10" s="678"/>
      <c r="H10" s="676"/>
      <c r="I10" s="676"/>
      <c r="J10" s="676"/>
      <c r="K10" s="676"/>
      <c r="M10" s="677"/>
    </row>
    <row r="11" spans="1:13" ht="28.5">
      <c r="A11" s="677" t="s">
        <v>556</v>
      </c>
      <c r="B11" s="767" t="str">
        <f>IF(AND(D11="",E11=""),"No Filing Date",IF(AND(D11="",E11&lt;&gt;""),"Enter Original Filing Date",IF(AND(D11&lt;&gt;"",E11=""),"Original Filing","Re-filed")))</f>
        <v>Original Filing</v>
      </c>
      <c r="C11" s="677"/>
      <c r="D11" s="724">
        <v>44561</v>
      </c>
      <c r="E11" s="724"/>
      <c r="F11" s="676"/>
      <c r="G11" s="678"/>
      <c r="H11" s="676"/>
      <c r="I11" s="676"/>
      <c r="J11" s="676"/>
      <c r="M11" s="677"/>
    </row>
    <row r="12" spans="1:13" s="680" customFormat="1" ht="17.649999999999999" customHeight="1">
      <c r="A12" s="679"/>
    </row>
    <row r="13" spans="1:13" ht="15.4" customHeight="1">
      <c r="A13" s="867" t="s">
        <v>557</v>
      </c>
      <c r="B13" s="868"/>
      <c r="D13" s="681">
        <v>0.2</v>
      </c>
      <c r="E13" s="681">
        <v>0.2</v>
      </c>
      <c r="F13" s="682"/>
      <c r="G13" s="682"/>
      <c r="H13" s="681">
        <v>0.2</v>
      </c>
      <c r="I13" s="681">
        <v>0.2</v>
      </c>
      <c r="J13" s="683"/>
      <c r="K13" s="683"/>
    </row>
    <row r="14" spans="1:13" ht="15.4" customHeight="1">
      <c r="B14" s="684"/>
      <c r="D14" s="682"/>
      <c r="E14" s="682"/>
      <c r="F14" s="682"/>
      <c r="G14" s="682"/>
      <c r="H14" s="682"/>
      <c r="I14" s="682"/>
      <c r="J14" s="683"/>
      <c r="K14" s="683"/>
    </row>
    <row r="15" spans="1:13" ht="15.4" customHeight="1">
      <c r="A15" s="693"/>
      <c r="B15" s="693"/>
      <c r="C15" s="686"/>
      <c r="D15" s="690"/>
      <c r="E15" s="521"/>
      <c r="F15" s="521"/>
      <c r="G15" s="657"/>
      <c r="H15" s="521"/>
      <c r="I15" s="521"/>
      <c r="J15" s="687"/>
      <c r="K15" s="687"/>
      <c r="L15" s="739"/>
      <c r="M15" s="740"/>
    </row>
    <row r="16" spans="1:13" ht="15.4" customHeight="1">
      <c r="A16" s="789" t="s">
        <v>558</v>
      </c>
      <c r="B16" s="790"/>
      <c r="C16" s="686" t="s">
        <v>559</v>
      </c>
      <c r="D16" s="768">
        <f>IFERROR(0,INDEX('R2 - Rec to Revenue and Profit'!$E$58:$I$58,MATCH('R8a - Tax Reconciliation'!$B$6,'R2 - Rec to Revenue and Profit'!$E$6:$I$6,0)))</f>
        <v>0</v>
      </c>
      <c r="E16" s="519"/>
      <c r="F16" s="521"/>
      <c r="G16" s="657" t="str">
        <f>IF($B$4="ESO2", $B$4&amp; " " &amp;"PCFM - see Tax Allowance in 'System Operator' worksheet",  $B$4&amp; " " &amp;"PCFM - see Tax Allowance in 'Finance &amp;Tax' worksheet")</f>
        <v>GD2 PCFM - see Tax Allowance in 'Finance &amp;Tax' worksheet</v>
      </c>
      <c r="H16" s="625"/>
      <c r="I16" s="768">
        <f>1/(1-H$13)*H16</f>
        <v>0</v>
      </c>
      <c r="J16" s="687"/>
      <c r="K16" s="687"/>
      <c r="L16" s="739"/>
      <c r="M16" s="740"/>
    </row>
    <row r="17" spans="1:17" ht="15.4" customHeight="1">
      <c r="A17" s="857" t="s">
        <v>560</v>
      </c>
      <c r="B17" s="858"/>
      <c r="C17" s="686"/>
      <c r="D17" s="521"/>
      <c r="E17" s="521"/>
      <c r="F17" s="521"/>
      <c r="G17" s="657" t="str">
        <f t="shared" ref="G17:G20" si="0">IF($B$4="ESO2", $B$4&amp; " " &amp;"PCFM - see Tax Allowance in 'System Operator' worksheet",  $B$4&amp; " " &amp;"PCFM - see Tax Allowance in 'Finance &amp;Tax' worksheet")</f>
        <v>GD2 PCFM - see Tax Allowance in 'Finance &amp;Tax' worksheet</v>
      </c>
      <c r="H17" s="625"/>
      <c r="I17" s="768">
        <f t="shared" ref="I17:I20" si="1">1/(1-H$13)*H17</f>
        <v>0</v>
      </c>
      <c r="J17" s="687"/>
      <c r="K17" s="687"/>
      <c r="L17" s="739"/>
      <c r="M17" s="740"/>
    </row>
    <row r="18" spans="1:17" ht="15.4" customHeight="1">
      <c r="A18" s="719" t="s">
        <v>561</v>
      </c>
      <c r="B18" s="720"/>
      <c r="C18" s="686"/>
      <c r="D18" s="521"/>
      <c r="E18" s="521"/>
      <c r="F18" s="521"/>
      <c r="G18" s="657" t="str">
        <f t="shared" si="0"/>
        <v>GD2 PCFM - see Tax Allowance in 'Finance &amp;Tax' worksheet</v>
      </c>
      <c r="H18" s="625"/>
      <c r="I18" s="768">
        <f t="shared" si="1"/>
        <v>0</v>
      </c>
      <c r="J18" s="687"/>
      <c r="K18" s="687"/>
      <c r="L18" s="739"/>
      <c r="M18" s="740"/>
    </row>
    <row r="19" spans="1:17" s="686" customFormat="1">
      <c r="A19" s="719" t="s">
        <v>562</v>
      </c>
      <c r="B19" s="720"/>
      <c r="D19" s="521"/>
      <c r="E19" s="521"/>
      <c r="F19" s="521"/>
      <c r="G19" s="657" t="str">
        <f t="shared" si="0"/>
        <v>GD2 PCFM - see Tax Allowance in 'Finance &amp;Tax' worksheet</v>
      </c>
      <c r="H19" s="625"/>
      <c r="I19" s="768">
        <f t="shared" si="1"/>
        <v>0</v>
      </c>
      <c r="J19" s="687"/>
      <c r="K19" s="687"/>
      <c r="L19" s="739"/>
      <c r="M19" s="740"/>
      <c r="N19" s="791"/>
      <c r="O19" s="791"/>
      <c r="P19" s="791"/>
      <c r="Q19" s="791"/>
    </row>
    <row r="20" spans="1:17" s="686" customFormat="1">
      <c r="A20" s="719" t="s">
        <v>563</v>
      </c>
      <c r="B20" s="720"/>
      <c r="D20" s="521"/>
      <c r="E20" s="521"/>
      <c r="F20" s="521"/>
      <c r="G20" s="657" t="str">
        <f t="shared" si="0"/>
        <v>GD2 PCFM - see Tax Allowance in 'Finance &amp;Tax' worksheet</v>
      </c>
      <c r="H20" s="625"/>
      <c r="I20" s="768">
        <f t="shared" si="1"/>
        <v>0</v>
      </c>
      <c r="J20" s="687"/>
      <c r="K20" s="687"/>
      <c r="L20" s="739"/>
      <c r="M20" s="740"/>
      <c r="N20" s="791"/>
      <c r="O20" s="791"/>
      <c r="P20" s="791"/>
      <c r="Q20" s="791"/>
    </row>
    <row r="21" spans="1:17">
      <c r="A21" s="719" t="s">
        <v>564</v>
      </c>
      <c r="B21" s="720"/>
      <c r="C21" s="686" t="s">
        <v>559</v>
      </c>
      <c r="D21" s="519"/>
      <c r="E21" s="519"/>
      <c r="F21" s="521"/>
      <c r="G21" s="657"/>
      <c r="H21" s="521"/>
      <c r="I21" s="521"/>
      <c r="J21" s="687"/>
      <c r="K21" s="687"/>
      <c r="L21" s="739"/>
      <c r="M21" s="740"/>
    </row>
    <row r="22" spans="1:17">
      <c r="A22" s="719"/>
      <c r="B22" s="720"/>
      <c r="C22" s="686"/>
      <c r="D22" s="521"/>
      <c r="E22" s="521"/>
      <c r="F22" s="521"/>
      <c r="G22" s="657"/>
      <c r="H22" s="521"/>
      <c r="I22" s="521"/>
      <c r="J22" s="687"/>
      <c r="K22" s="687"/>
      <c r="L22" s="739"/>
      <c r="M22" s="740"/>
    </row>
    <row r="23" spans="1:17">
      <c r="A23" s="725" t="s">
        <v>565</v>
      </c>
      <c r="B23" s="726"/>
      <c r="C23" s="741" t="s">
        <v>559</v>
      </c>
      <c r="D23" s="727">
        <f>SUM(D16:D21)</f>
        <v>0</v>
      </c>
      <c r="E23" s="727">
        <f>SUM(E16:E21)</f>
        <v>0</v>
      </c>
      <c r="F23" s="521"/>
      <c r="G23" s="657"/>
      <c r="H23" s="727">
        <f>SUM(H16:H21)</f>
        <v>0</v>
      </c>
      <c r="I23" s="727">
        <f>SUM(I16:I21)</f>
        <v>0</v>
      </c>
      <c r="J23" s="687"/>
      <c r="K23" s="727">
        <f>IF(E$11&lt;&gt;"",IF(OR(B$11="No Filing Date","Enter Filing Date",E$11&lt;D$11),"Error in Filing Date",IF('R8a - Tax Reconciliation'!B$11="Original Filing",D23-I23,E23-I23)),IF(OR(B$11="No Filing Date","Enter Filing Date"),"Error in Filing Date",IF('R8a - Tax Reconciliation'!B$11="Original Filing",D23-I23,E23-I23)))</f>
        <v>0</v>
      </c>
      <c r="L23" s="739"/>
      <c r="M23" s="740"/>
    </row>
    <row r="24" spans="1:17">
      <c r="A24" s="728"/>
      <c r="B24" s="720"/>
      <c r="C24" s="686"/>
      <c r="D24" s="729"/>
      <c r="E24" s="729"/>
      <c r="F24" s="521"/>
      <c r="G24" s="657"/>
      <c r="H24" s="729"/>
      <c r="I24" s="744"/>
      <c r="J24" s="687"/>
      <c r="K24" s="729"/>
      <c r="L24" s="739"/>
      <c r="M24" s="740"/>
    </row>
    <row r="25" spans="1:17">
      <c r="A25" s="712" t="s">
        <v>566</v>
      </c>
      <c r="B25" s="720"/>
      <c r="C25" s="686" t="s">
        <v>559</v>
      </c>
      <c r="D25" s="519"/>
      <c r="E25" s="519"/>
      <c r="F25" s="521"/>
      <c r="G25" s="657" t="str">
        <f t="shared" ref="G25:G26" si="2">IF($B$4="ESO2", $B$4&amp; " " &amp;"PCFM - see Tax Allowance in 'System Operator' worksheet",  $B$4&amp; " " &amp;"PCFM - see Tax Allowance in 'Finance &amp;Tax' worksheet")</f>
        <v>GD2 PCFM - see Tax Allowance in 'Finance &amp;Tax' worksheet</v>
      </c>
      <c r="H25" s="625"/>
      <c r="I25" s="768">
        <f t="shared" ref="I25:I26" si="3">1/(1-H$13)*H25</f>
        <v>0</v>
      </c>
      <c r="J25" s="687"/>
      <c r="K25" s="766">
        <f>IF(E$11&lt;&gt;"",IF(OR(B$11="No Filing Date","Enter Filing Date",E$11&lt;D$11),"Error in Filing Date",IF('R8a - Tax Reconciliation'!B$11="Original Filing",D25-I25,E25-I25)),IF(OR(B$11="No Filing Date","Enter Filing Date"),"Error in Filing Date",IF('R8a - Tax Reconciliation'!B$11="Original Filing",D25-I25,E25-I25)))</f>
        <v>0</v>
      </c>
      <c r="L25" s="739"/>
      <c r="M25" s="740"/>
      <c r="N25" s="791"/>
      <c r="O25" s="791"/>
      <c r="P25" s="791"/>
    </row>
    <row r="26" spans="1:17">
      <c r="A26" s="712" t="s">
        <v>567</v>
      </c>
      <c r="B26" s="720"/>
      <c r="C26" s="686" t="s">
        <v>559</v>
      </c>
      <c r="D26" s="519"/>
      <c r="E26" s="519"/>
      <c r="F26" s="521"/>
      <c r="G26" s="657" t="str">
        <f t="shared" si="2"/>
        <v>GD2 PCFM - see Tax Allowance in 'Finance &amp;Tax' worksheet</v>
      </c>
      <c r="H26" s="625"/>
      <c r="I26" s="768">
        <f t="shared" si="3"/>
        <v>0</v>
      </c>
      <c r="J26" s="687"/>
      <c r="K26" s="766">
        <f>IF(E$11&lt;&gt;"",IF(OR(B$11="No Filing Date","Enter Filing Date",E$11&lt;D$11),"Error in Filing Date",IF('R8a - Tax Reconciliation'!B$11="Original Filing",D26-I26,E26-I26)),IF(OR(B$11="No Filing Date","Enter Filing Date"),"Error in Filing Date",IF('R8a - Tax Reconciliation'!B$11="Original Filing",D26-I26,E26-I26)))</f>
        <v>0</v>
      </c>
      <c r="L26" s="739"/>
      <c r="M26" s="740"/>
      <c r="N26" s="791"/>
      <c r="O26" s="791"/>
      <c r="P26" s="791"/>
    </row>
    <row r="27" spans="1:17">
      <c r="A27" s="857" t="s">
        <v>568</v>
      </c>
      <c r="B27" s="858"/>
      <c r="C27" s="686" t="s">
        <v>559</v>
      </c>
      <c r="D27" s="519"/>
      <c r="E27" s="519"/>
      <c r="F27" s="521"/>
      <c r="G27" s="657"/>
      <c r="H27" s="521"/>
      <c r="I27" s="521"/>
      <c r="J27" s="687"/>
      <c r="K27" s="687"/>
      <c r="L27" s="739"/>
      <c r="M27" s="740"/>
      <c r="N27" s="791"/>
      <c r="O27" s="791"/>
      <c r="P27" s="791"/>
    </row>
    <row r="28" spans="1:17">
      <c r="A28" s="857" t="s">
        <v>569</v>
      </c>
      <c r="B28" s="858"/>
      <c r="C28" s="686" t="s">
        <v>559</v>
      </c>
      <c r="D28" s="519"/>
      <c r="E28" s="519"/>
      <c r="F28" s="521"/>
      <c r="G28" s="657"/>
      <c r="H28" s="521"/>
      <c r="I28" s="521"/>
      <c r="J28" s="687"/>
      <c r="K28" s="687"/>
      <c r="L28" s="739"/>
      <c r="M28" s="740"/>
      <c r="N28" s="791"/>
      <c r="O28" s="791"/>
      <c r="P28" s="791"/>
    </row>
    <row r="29" spans="1:17">
      <c r="A29" s="719" t="s">
        <v>570</v>
      </c>
      <c r="B29" s="720"/>
      <c r="C29" s="686" t="s">
        <v>559</v>
      </c>
      <c r="D29" s="519"/>
      <c r="E29" s="519"/>
      <c r="F29" s="521"/>
      <c r="G29" s="657"/>
      <c r="H29" s="521"/>
      <c r="I29" s="521"/>
      <c r="J29" s="687"/>
      <c r="K29" s="687"/>
      <c r="L29" s="739"/>
      <c r="M29" s="740"/>
      <c r="N29" s="791"/>
      <c r="O29" s="791"/>
      <c r="P29" s="791"/>
    </row>
    <row r="30" spans="1:17">
      <c r="A30" s="719" t="s">
        <v>571</v>
      </c>
      <c r="B30" s="720"/>
      <c r="C30" s="686" t="s">
        <v>559</v>
      </c>
      <c r="D30" s="519"/>
      <c r="E30" s="519"/>
      <c r="F30" s="521"/>
      <c r="G30" s="657"/>
      <c r="H30" s="521"/>
      <c r="I30" s="521"/>
      <c r="J30" s="687"/>
      <c r="K30" s="687"/>
      <c r="L30" s="739"/>
      <c r="M30" s="740"/>
      <c r="N30" s="791"/>
      <c r="O30" s="791"/>
      <c r="P30" s="791"/>
    </row>
    <row r="31" spans="1:17">
      <c r="A31" s="719"/>
      <c r="B31" s="720"/>
      <c r="C31" s="686"/>
      <c r="D31" s="690"/>
      <c r="E31" s="690"/>
      <c r="F31" s="521"/>
      <c r="G31" s="657"/>
      <c r="H31" s="521"/>
      <c r="I31" s="521"/>
      <c r="J31" s="687"/>
      <c r="K31" s="687"/>
      <c r="L31" s="739"/>
      <c r="M31" s="740"/>
      <c r="N31" s="791"/>
      <c r="O31" s="791"/>
      <c r="P31" s="791"/>
    </row>
    <row r="32" spans="1:17">
      <c r="A32" s="730" t="s">
        <v>572</v>
      </c>
      <c r="B32" s="726"/>
      <c r="C32" s="741" t="s">
        <v>559</v>
      </c>
      <c r="D32" s="727">
        <f>SUM(D23:D31)</f>
        <v>0</v>
      </c>
      <c r="E32" s="727">
        <f>SUM(E23:E31)</f>
        <v>0</v>
      </c>
      <c r="F32" s="521"/>
      <c r="G32" s="742" t="s">
        <v>573</v>
      </c>
      <c r="H32" s="727">
        <f>SUM(H23:H31)</f>
        <v>0</v>
      </c>
      <c r="I32" s="727">
        <f>SUM(I23:I31)</f>
        <v>0</v>
      </c>
      <c r="J32" s="687"/>
      <c r="K32" s="727">
        <f>IF(E$11&lt;&gt;"",IF(OR(B$11="No Filing Date","Enter Filing Date",E$11&lt;D$11),"Error in Filing Date",IF('R8a - Tax Reconciliation'!B$11="Original Filing",D32-I32,E32-I32)),IF(OR(B$11="No Filing Date","Enter Filing Date"),"Error in Filing Date",IF('R8a - Tax Reconciliation'!B$11="Original Filing",D32-I32,E32-I32)))</f>
        <v>0</v>
      </c>
      <c r="L32" s="739"/>
      <c r="M32" s="743"/>
    </row>
    <row r="33" spans="1:17">
      <c r="A33" s="731"/>
      <c r="B33" s="693"/>
      <c r="C33" s="686"/>
      <c r="D33" s="687"/>
      <c r="E33" s="687"/>
      <c r="F33" s="521"/>
      <c r="G33" s="657"/>
      <c r="J33" s="687"/>
      <c r="K33" s="744"/>
      <c r="L33" s="739"/>
      <c r="M33" s="740"/>
      <c r="N33" s="792"/>
      <c r="O33" s="792"/>
      <c r="P33" s="792"/>
    </row>
    <row r="34" spans="1:17">
      <c r="A34" s="793" t="s">
        <v>574</v>
      </c>
      <c r="B34" s="790"/>
      <c r="C34" s="686"/>
      <c r="D34" s="690"/>
      <c r="E34" s="690"/>
      <c r="F34" s="521"/>
      <c r="G34" s="657"/>
      <c r="H34" s="521"/>
      <c r="I34" s="521"/>
      <c r="J34" s="687"/>
      <c r="K34" s="687"/>
      <c r="L34" s="739"/>
      <c r="M34" s="740"/>
      <c r="N34" s="791"/>
      <c r="O34" s="791"/>
      <c r="P34" s="791"/>
    </row>
    <row r="35" spans="1:17">
      <c r="A35" s="719"/>
      <c r="B35" s="720"/>
      <c r="C35" s="686"/>
      <c r="D35" s="690"/>
      <c r="E35" s="690"/>
      <c r="F35" s="521"/>
      <c r="G35" s="657"/>
      <c r="H35" s="521"/>
      <c r="I35" s="521"/>
      <c r="J35" s="687"/>
      <c r="K35" s="687"/>
      <c r="L35" s="739"/>
      <c r="M35" s="740"/>
      <c r="N35" s="791"/>
      <c r="O35" s="791"/>
      <c r="P35" s="791"/>
    </row>
    <row r="36" spans="1:17">
      <c r="A36" s="855" t="s">
        <v>575</v>
      </c>
      <c r="B36" s="856"/>
      <c r="D36" s="688"/>
      <c r="E36" s="688"/>
      <c r="F36" s="688"/>
      <c r="G36" s="691"/>
      <c r="H36" s="688"/>
      <c r="I36" s="688"/>
      <c r="J36" s="688"/>
      <c r="K36" s="688"/>
      <c r="L36" s="745"/>
      <c r="M36" s="746"/>
      <c r="N36" s="741"/>
      <c r="O36" s="741"/>
      <c r="P36" s="741"/>
      <c r="Q36" s="741"/>
    </row>
    <row r="37" spans="1:17">
      <c r="A37" s="857" t="s">
        <v>576</v>
      </c>
      <c r="B37" s="858"/>
      <c r="C37" s="686" t="s">
        <v>559</v>
      </c>
      <c r="D37" s="519"/>
      <c r="E37" s="519"/>
      <c r="F37" s="521"/>
      <c r="G37" s="657"/>
      <c r="H37" s="521"/>
      <c r="I37" s="521"/>
      <c r="J37" s="687"/>
      <c r="K37" s="521"/>
      <c r="L37" s="521"/>
      <c r="M37" s="521"/>
      <c r="N37" s="741"/>
      <c r="O37" s="741"/>
      <c r="P37" s="741"/>
      <c r="Q37" s="741"/>
    </row>
    <row r="38" spans="1:17">
      <c r="A38" s="747"/>
      <c r="B38" s="692"/>
      <c r="D38" s="688"/>
      <c r="E38" s="688"/>
      <c r="F38" s="688"/>
      <c r="G38" s="691"/>
      <c r="H38" s="688"/>
      <c r="I38" s="688"/>
      <c r="J38" s="688"/>
      <c r="K38" s="521"/>
      <c r="L38" s="521"/>
      <c r="M38" s="521"/>
      <c r="N38" s="741"/>
      <c r="O38" s="741"/>
      <c r="P38" s="741"/>
      <c r="Q38" s="741"/>
    </row>
    <row r="39" spans="1:17" s="686" customFormat="1">
      <c r="A39" s="855" t="s">
        <v>577</v>
      </c>
      <c r="B39" s="856"/>
      <c r="C39" s="673"/>
      <c r="D39" s="688"/>
      <c r="E39" s="688"/>
      <c r="F39" s="688"/>
      <c r="G39" s="691"/>
      <c r="H39" s="688"/>
      <c r="I39" s="688"/>
      <c r="J39" s="688"/>
      <c r="K39" s="521"/>
      <c r="L39" s="521"/>
      <c r="M39" s="521"/>
    </row>
    <row r="40" spans="1:17" s="686" customFormat="1">
      <c r="A40" s="857" t="s">
        <v>576</v>
      </c>
      <c r="B40" s="858"/>
      <c r="C40" s="686" t="s">
        <v>559</v>
      </c>
      <c r="D40" s="519"/>
      <c r="E40" s="519"/>
      <c r="F40" s="521"/>
      <c r="G40" s="657"/>
      <c r="H40" s="521"/>
      <c r="I40" s="521"/>
      <c r="J40" s="687"/>
      <c r="K40" s="521"/>
      <c r="L40" s="521"/>
      <c r="M40" s="521"/>
    </row>
    <row r="41" spans="1:17">
      <c r="A41" s="747"/>
      <c r="B41" s="748"/>
      <c r="D41" s="688"/>
      <c r="E41" s="688"/>
      <c r="F41" s="688"/>
      <c r="G41" s="691"/>
      <c r="H41" s="688"/>
      <c r="I41" s="688"/>
      <c r="J41" s="688"/>
      <c r="K41" s="521"/>
      <c r="L41" s="521"/>
      <c r="M41" s="521"/>
      <c r="N41" s="741"/>
      <c r="O41" s="741"/>
      <c r="P41" s="741"/>
      <c r="Q41" s="741"/>
    </row>
    <row r="42" spans="1:17">
      <c r="A42" s="855" t="s">
        <v>578</v>
      </c>
      <c r="B42" s="856"/>
      <c r="D42" s="688"/>
      <c r="E42" s="688"/>
      <c r="F42" s="688"/>
      <c r="G42" s="691"/>
      <c r="H42" s="688"/>
      <c r="I42" s="688"/>
      <c r="J42" s="688"/>
      <c r="K42" s="521"/>
      <c r="L42" s="521"/>
      <c r="M42" s="521"/>
      <c r="N42" s="741"/>
      <c r="O42" s="741"/>
      <c r="P42" s="741"/>
      <c r="Q42" s="741"/>
    </row>
    <row r="43" spans="1:17" s="686" customFormat="1">
      <c r="A43" s="859" t="s">
        <v>576</v>
      </c>
      <c r="B43" s="860"/>
      <c r="C43" s="686" t="s">
        <v>559</v>
      </c>
      <c r="D43" s="519"/>
      <c r="E43" s="519"/>
      <c r="F43" s="521"/>
      <c r="G43" s="657"/>
      <c r="H43" s="521"/>
      <c r="I43" s="521"/>
      <c r="J43" s="687"/>
      <c r="K43" s="521"/>
      <c r="L43" s="521"/>
      <c r="M43" s="521"/>
    </row>
    <row r="44" spans="1:17" s="686" customFormat="1">
      <c r="A44" s="693"/>
      <c r="B44" s="693"/>
      <c r="D44" s="521"/>
      <c r="E44" s="521"/>
      <c r="F44" s="521"/>
      <c r="G44" s="657"/>
      <c r="H44" s="521"/>
      <c r="I44" s="521"/>
      <c r="J44" s="687"/>
      <c r="K44" s="687"/>
      <c r="L44" s="739"/>
      <c r="M44" s="740"/>
      <c r="N44" s="791"/>
      <c r="O44" s="791"/>
      <c r="P44" s="791"/>
      <c r="Q44" s="791"/>
    </row>
    <row r="45" spans="1:17" s="686" customFormat="1">
      <c r="A45" s="730" t="s">
        <v>579</v>
      </c>
      <c r="B45" s="726"/>
      <c r="C45" s="741" t="s">
        <v>559</v>
      </c>
      <c r="D45" s="727">
        <f>SUM(D32:D44)</f>
        <v>0</v>
      </c>
      <c r="E45" s="727">
        <f>SUM(E32:E44)</f>
        <v>0</v>
      </c>
      <c r="F45" s="521"/>
      <c r="G45" s="657"/>
      <c r="H45" s="727">
        <f>SUM(H32:H44)</f>
        <v>0</v>
      </c>
      <c r="I45" s="727">
        <f>SUM(I32:I44)</f>
        <v>0</v>
      </c>
      <c r="J45" s="687"/>
      <c r="K45" s="727">
        <f>IF(E$11&lt;&gt;"",IF(OR(B$11="No Filing Date","Enter Filing Date",E$11&lt;D$11),"Error in Filing Date",IF('R8a - Tax Reconciliation'!B$11="Original Filing",D45-I45,E45-I45)),IF(OR(B$11="No Filing Date","Enter Filing Date"),"Error in Filing Date",IF('R8a - Tax Reconciliation'!B$11="Original Filing",D45-I45,E45-I45)))</f>
        <v>0</v>
      </c>
      <c r="L45" s="739"/>
      <c r="M45" s="743"/>
      <c r="N45" s="791"/>
      <c r="O45" s="791"/>
      <c r="P45" s="791"/>
      <c r="Q45" s="791"/>
    </row>
    <row r="46" spans="1:17" s="686" customFormat="1">
      <c r="A46" s="694"/>
      <c r="B46" s="694"/>
      <c r="C46" s="673"/>
      <c r="D46" s="517"/>
      <c r="E46" s="517"/>
      <c r="F46" s="517"/>
      <c r="G46" s="658"/>
      <c r="H46" s="517"/>
      <c r="I46" s="517"/>
      <c r="J46" s="688"/>
      <c r="K46" s="688"/>
      <c r="L46" s="745"/>
      <c r="M46" s="746"/>
      <c r="N46" s="791"/>
      <c r="O46" s="791"/>
      <c r="P46" s="791"/>
      <c r="Q46" s="791"/>
    </row>
    <row r="47" spans="1:17" s="686" customFormat="1">
      <c r="A47" s="794" t="s">
        <v>580</v>
      </c>
      <c r="B47" s="795"/>
      <c r="C47" s="673"/>
      <c r="D47" s="517"/>
      <c r="E47" s="517"/>
      <c r="F47" s="517"/>
      <c r="G47" s="658"/>
      <c r="H47" s="517"/>
      <c r="I47" s="517"/>
      <c r="J47" s="688"/>
      <c r="K47" s="688"/>
      <c r="L47" s="745"/>
      <c r="M47" s="746"/>
      <c r="N47" s="791"/>
      <c r="O47" s="791"/>
      <c r="P47" s="791"/>
      <c r="Q47" s="791"/>
    </row>
    <row r="48" spans="1:17" s="686" customFormat="1">
      <c r="A48" s="695"/>
      <c r="B48" s="696"/>
      <c r="C48" s="673"/>
      <c r="D48" s="517"/>
      <c r="E48" s="517"/>
      <c r="F48" s="517"/>
      <c r="G48" s="658"/>
      <c r="H48" s="517"/>
      <c r="I48" s="517"/>
      <c r="J48" s="688"/>
      <c r="K48" s="688"/>
      <c r="L48" s="745"/>
      <c r="M48" s="746"/>
      <c r="N48" s="791"/>
      <c r="O48" s="791"/>
      <c r="P48" s="791"/>
      <c r="Q48" s="791"/>
    </row>
    <row r="49" spans="1:23" s="686" customFormat="1">
      <c r="A49" s="721" t="s">
        <v>581</v>
      </c>
      <c r="B49" s="696"/>
      <c r="C49" s="673"/>
      <c r="D49" s="517"/>
      <c r="E49" s="517"/>
      <c r="F49" s="517"/>
      <c r="G49" s="658"/>
      <c r="H49" s="517"/>
      <c r="I49" s="517"/>
      <c r="J49" s="688"/>
      <c r="K49" s="688"/>
      <c r="L49" s="745"/>
      <c r="M49" s="746"/>
      <c r="N49" s="791"/>
      <c r="O49" s="791"/>
      <c r="P49" s="791"/>
      <c r="Q49" s="791"/>
    </row>
    <row r="50" spans="1:23" s="686" customFormat="1">
      <c r="A50" s="719" t="s">
        <v>582</v>
      </c>
      <c r="B50" s="720"/>
      <c r="C50" s="686" t="s">
        <v>559</v>
      </c>
      <c r="D50" s="519"/>
      <c r="E50" s="519"/>
      <c r="F50" s="521"/>
      <c r="G50" s="657"/>
      <c r="H50" s="519"/>
      <c r="I50" s="768">
        <f t="shared" ref="I50:I62" si="4">1/(1-H$13)*H50</f>
        <v>0</v>
      </c>
      <c r="J50" s="687"/>
      <c r="K50" s="766">
        <f>IF(E$11&lt;&gt;"",IF(OR(B$11="No Filing Date","Enter Filing Date",E$11&lt;D$11),"Error in Filing Date",IF('R8a - Tax Reconciliation'!B$11="Original Filing",D50-I50,E50-I50)),IF(OR(B$11="No Filing Date","Enter Filing Date"),"Error in Filing Date",IF('R8a - Tax Reconciliation'!B$11="Original Filing",D50-I50,E50-I50)))</f>
        <v>0</v>
      </c>
      <c r="L50" s="739"/>
      <c r="M50" s="749"/>
    </row>
    <row r="51" spans="1:23" s="686" customFormat="1">
      <c r="A51" s="719" t="s">
        <v>583</v>
      </c>
      <c r="B51" s="720"/>
      <c r="C51" s="686" t="s">
        <v>559</v>
      </c>
      <c r="D51" s="519"/>
      <c r="E51" s="519"/>
      <c r="F51" s="521"/>
      <c r="G51" s="657"/>
      <c r="H51" s="519"/>
      <c r="I51" s="768">
        <f t="shared" si="4"/>
        <v>0</v>
      </c>
      <c r="J51" s="687"/>
      <c r="K51" s="766">
        <f>IF(E$11&lt;&gt;"",IF(OR(B$11="No Filing Date","Enter Filing Date",E$11&lt;D$11),"Error in Filing Date",IF('R8a - Tax Reconciliation'!B$11="Original Filing",D51-I51,E51-I51)),IF(OR(B$11="No Filing Date","Enter Filing Date"),"Error in Filing Date",IF('R8a - Tax Reconciliation'!B$11="Original Filing",D51-I51,E51-I51)))</f>
        <v>0</v>
      </c>
      <c r="L51" s="739"/>
      <c r="M51" s="749"/>
      <c r="N51" s="791"/>
      <c r="O51" s="791"/>
      <c r="P51" s="791"/>
      <c r="Q51" s="791"/>
    </row>
    <row r="52" spans="1:23" s="686" customFormat="1">
      <c r="A52" s="719" t="s">
        <v>584</v>
      </c>
      <c r="B52" s="720"/>
      <c r="C52" s="686" t="s">
        <v>559</v>
      </c>
      <c r="D52" s="519"/>
      <c r="E52" s="519"/>
      <c r="F52" s="521"/>
      <c r="G52" s="657"/>
      <c r="H52" s="519"/>
      <c r="I52" s="768">
        <f t="shared" si="4"/>
        <v>0</v>
      </c>
      <c r="J52" s="687"/>
      <c r="K52" s="766">
        <f>IF(E$11&lt;&gt;"",IF(OR(B$11="No Filing Date","Enter Filing Date",E$11&lt;D$11),"Error in Filing Date",IF('R8a - Tax Reconciliation'!B$11="Original Filing",D52-I52,E52-I52)),IF(OR(B$11="No Filing Date","Enter Filing Date"),"Error in Filing Date",IF('R8a - Tax Reconciliation'!B$11="Original Filing",D52-I52,E52-I52)))</f>
        <v>0</v>
      </c>
      <c r="L52" s="739"/>
      <c r="M52" s="749"/>
    </row>
    <row r="53" spans="1:23">
      <c r="A53" s="719" t="s">
        <v>571</v>
      </c>
      <c r="B53" s="720"/>
      <c r="C53" s="686" t="s">
        <v>559</v>
      </c>
      <c r="D53" s="519"/>
      <c r="E53" s="519"/>
      <c r="F53" s="521"/>
      <c r="G53" s="657"/>
      <c r="H53" s="519"/>
      <c r="I53" s="768">
        <f t="shared" si="4"/>
        <v>0</v>
      </c>
      <c r="J53" s="687"/>
      <c r="K53" s="766">
        <f>IF(E$11&lt;&gt;"",IF(OR(B$11="No Filing Date","Enter Filing Date",E$11&lt;D$11),"Error in Filing Date",IF('R8a - Tax Reconciliation'!B$11="Original Filing",D53-I53,E53-I53)),IF(OR(B$11="No Filing Date","Enter Filing Date"),"Error in Filing Date",IF('R8a - Tax Reconciliation'!B$11="Original Filing",D53-I53,E53-I53)))</f>
        <v>0</v>
      </c>
      <c r="L53" s="739"/>
      <c r="M53" s="749"/>
      <c r="N53" s="741"/>
      <c r="O53" s="741"/>
      <c r="P53" s="741"/>
      <c r="Q53" s="741"/>
    </row>
    <row r="54" spans="1:23">
      <c r="A54" s="697" t="s">
        <v>585</v>
      </c>
      <c r="B54" s="750"/>
      <c r="C54" s="686" t="s">
        <v>559</v>
      </c>
      <c r="D54" s="519"/>
      <c r="E54" s="519"/>
      <c r="F54" s="521"/>
      <c r="G54" s="657"/>
      <c r="H54" s="519"/>
      <c r="I54" s="768">
        <f t="shared" si="4"/>
        <v>0</v>
      </c>
      <c r="J54" s="687"/>
      <c r="K54" s="766">
        <f>IF(E$11&lt;&gt;"",IF(OR(B$11="No Filing Date","Enter Filing Date",E$11&lt;D$11),"Error in Filing Date",IF('R8a - Tax Reconciliation'!B$11="Original Filing",D54-I54,E54-I54)),IF(OR(B$11="No Filing Date","Enter Filing Date"),"Error in Filing Date",IF('R8a - Tax Reconciliation'!B$11="Original Filing",D54-I54,E54-I54)))</f>
        <v>0</v>
      </c>
      <c r="L54" s="686"/>
      <c r="M54" s="749"/>
    </row>
    <row r="55" spans="1:23">
      <c r="A55" s="857" t="s">
        <v>586</v>
      </c>
      <c r="B55" s="858"/>
      <c r="C55" s="686" t="s">
        <v>559</v>
      </c>
      <c r="D55" s="519"/>
      <c r="E55" s="519"/>
      <c r="F55" s="520"/>
      <c r="G55" s="657"/>
      <c r="H55" s="519"/>
      <c r="I55" s="768">
        <f t="shared" si="4"/>
        <v>0</v>
      </c>
      <c r="J55" s="751"/>
      <c r="K55" s="766">
        <f>IF(E$11&lt;&gt;"",IF(OR(B$11="No Filing Date","Enter Filing Date",E$11&lt;D$11),"Error in Filing Date",IF('R8a - Tax Reconciliation'!B$11="Original Filing",D55-I55,E55-I55)),IF(OR(B$11="No Filing Date","Enter Filing Date"),"Error in Filing Date",IF('R8a - Tax Reconciliation'!B$11="Original Filing",D55-I55,E55-I55)))</f>
        <v>0</v>
      </c>
      <c r="L55" s="739"/>
      <c r="M55" s="749"/>
    </row>
    <row r="56" spans="1:23">
      <c r="A56" s="698" t="s">
        <v>587</v>
      </c>
      <c r="B56" s="750"/>
      <c r="C56" s="686" t="s">
        <v>559</v>
      </c>
      <c r="D56" s="519"/>
      <c r="E56" s="519"/>
      <c r="F56" s="687"/>
      <c r="G56" s="657" t="str">
        <f t="shared" ref="G56" si="5">IF($B$4="ESO2", $B$4&amp; " " &amp;"PCFM - see Tax Allowance in 'System Operator' worksheet",  $B$4&amp; " " &amp;"PCFM - see Tax Allowance in 'Finance &amp;Tax' worksheet")</f>
        <v>GD2 PCFM - see Tax Allowance in 'Finance &amp;Tax' worksheet</v>
      </c>
      <c r="H56" s="625"/>
      <c r="I56" s="768">
        <f t="shared" si="4"/>
        <v>0</v>
      </c>
      <c r="J56" s="752"/>
      <c r="K56" s="766">
        <f>IF(E$11&lt;&gt;"",IF(OR(B$11="No Filing Date","Enter Filing Date",E$11&lt;D$11),"Error in Filing Date",IF('R8a - Tax Reconciliation'!B$11="Original Filing",D56-I56,E56-I56)),IF(OR(B$11="No Filing Date","Enter Filing Date"),"Error in Filing Date",IF('R8a - Tax Reconciliation'!B$11="Original Filing",D56-I56,E56-I56)))</f>
        <v>0</v>
      </c>
      <c r="L56" s="739"/>
      <c r="M56" s="749"/>
    </row>
    <row r="57" spans="1:23">
      <c r="A57" s="719" t="s">
        <v>588</v>
      </c>
      <c r="B57" s="720"/>
      <c r="C57" s="686" t="s">
        <v>559</v>
      </c>
      <c r="D57" s="519"/>
      <c r="E57" s="519"/>
      <c r="F57" s="521"/>
      <c r="G57" s="657"/>
      <c r="H57" s="519"/>
      <c r="I57" s="768">
        <f t="shared" si="4"/>
        <v>0</v>
      </c>
      <c r="J57" s="687"/>
      <c r="K57" s="766">
        <f>IF(E$11&lt;&gt;"",IF(OR(B$11="No Filing Date","Enter Filing Date",E$11&lt;D$11),"Error in Filing Date",IF('R8a - Tax Reconciliation'!B$11="Original Filing",D57-I57,E57-I57)),IF(OR(B$11="No Filing Date","Enter Filing Date"),"Error in Filing Date",IF('R8a - Tax Reconciliation'!B$11="Original Filing",D57-I57,E57-I57)))</f>
        <v>0</v>
      </c>
      <c r="L57" s="739"/>
      <c r="M57" s="749"/>
      <c r="N57" s="741"/>
      <c r="O57" s="741"/>
      <c r="P57" s="741"/>
      <c r="Q57" s="741"/>
    </row>
    <row r="58" spans="1:23">
      <c r="A58" s="719" t="s">
        <v>589</v>
      </c>
      <c r="B58" s="720"/>
      <c r="C58" s="686" t="s">
        <v>559</v>
      </c>
      <c r="D58" s="519"/>
      <c r="E58" s="519"/>
      <c r="F58" s="521"/>
      <c r="G58" s="657"/>
      <c r="H58" s="519"/>
      <c r="I58" s="768">
        <f t="shared" si="4"/>
        <v>0</v>
      </c>
      <c r="J58" s="687"/>
      <c r="K58" s="766">
        <f>IF(E$11&lt;&gt;"",IF(OR(B$11="No Filing Date","Enter Filing Date",E$11&lt;D$11),"Error in Filing Date",IF('R8a - Tax Reconciliation'!B$11="Original Filing",D58-I58,E58-I58)),IF(OR(B$11="No Filing Date","Enter Filing Date"),"Error in Filing Date",IF('R8a - Tax Reconciliation'!B$11="Original Filing",D58-I58,E58-I58)))</f>
        <v>0</v>
      </c>
      <c r="L58" s="739"/>
      <c r="M58" s="749"/>
      <c r="N58" s="791"/>
      <c r="O58" s="791"/>
      <c r="P58" s="791"/>
      <c r="Q58" s="791"/>
      <c r="R58" s="686"/>
      <c r="S58" s="686"/>
      <c r="T58" s="686"/>
      <c r="U58" s="686"/>
      <c r="V58" s="686"/>
      <c r="W58" s="686"/>
    </row>
    <row r="59" spans="1:23">
      <c r="A59" s="719" t="s">
        <v>590</v>
      </c>
      <c r="B59" s="720"/>
      <c r="C59" s="686" t="s">
        <v>559</v>
      </c>
      <c r="D59" s="519"/>
      <c r="E59" s="519"/>
      <c r="F59" s="521"/>
      <c r="G59" s="657"/>
      <c r="H59" s="519"/>
      <c r="I59" s="768">
        <f t="shared" si="4"/>
        <v>0</v>
      </c>
      <c r="J59" s="687"/>
      <c r="K59" s="766">
        <f>IF(E$11&lt;&gt;"",IF(OR(B$11="No Filing Date","Enter Filing Date",E$11&lt;D$11),"Error in Filing Date",IF('R8a - Tax Reconciliation'!B$11="Original Filing",D59-I59,E59-I59)),IF(OR(B$11="No Filing Date","Enter Filing Date"),"Error in Filing Date",IF('R8a - Tax Reconciliation'!B$11="Original Filing",D59-I59,E59-I59)))</f>
        <v>0</v>
      </c>
      <c r="L59" s="739"/>
      <c r="M59" s="749"/>
      <c r="N59" s="791"/>
      <c r="O59" s="791"/>
      <c r="P59" s="791"/>
      <c r="Q59" s="791"/>
      <c r="R59" s="686"/>
      <c r="S59" s="686"/>
      <c r="T59" s="686"/>
      <c r="U59" s="686"/>
      <c r="V59" s="686"/>
      <c r="W59" s="686"/>
    </row>
    <row r="60" spans="1:23">
      <c r="A60" s="719" t="s">
        <v>591</v>
      </c>
      <c r="B60" s="720"/>
      <c r="C60" s="686" t="s">
        <v>559</v>
      </c>
      <c r="D60" s="519"/>
      <c r="E60" s="519"/>
      <c r="F60" s="521"/>
      <c r="G60" s="657"/>
      <c r="H60" s="519"/>
      <c r="I60" s="768">
        <f t="shared" si="4"/>
        <v>0</v>
      </c>
      <c r="J60" s="687"/>
      <c r="K60" s="766">
        <f>IF(E$11&lt;&gt;"",IF(OR(B$11="No Filing Date","Enter Filing Date",E$11&lt;D$11),"Error in Filing Date",IF('R8a - Tax Reconciliation'!B$11="Original Filing",D60-I60,E60-I60)),IF(OR(B$11="No Filing Date","Enter Filing Date"),"Error in Filing Date",IF('R8a - Tax Reconciliation'!B$11="Original Filing",D60-I60,E60-I60)))</f>
        <v>0</v>
      </c>
      <c r="L60" s="739"/>
      <c r="M60" s="749"/>
    </row>
    <row r="61" spans="1:23">
      <c r="A61" s="719" t="s">
        <v>592</v>
      </c>
      <c r="B61" s="720"/>
      <c r="C61" s="686" t="s">
        <v>559</v>
      </c>
      <c r="D61" s="519"/>
      <c r="E61" s="519"/>
      <c r="F61" s="521"/>
      <c r="G61" s="657"/>
      <c r="H61" s="519"/>
      <c r="I61" s="768">
        <f t="shared" si="4"/>
        <v>0</v>
      </c>
      <c r="J61" s="687"/>
      <c r="K61" s="766">
        <f>IF(E$11&lt;&gt;"",IF(OR(B$11="No Filing Date","Enter Filing Date",E$11&lt;D$11),"Error in Filing Date",IF('R8a - Tax Reconciliation'!B$11="Original Filing",D61-I61,E61-I61)),IF(OR(B$11="No Filing Date","Enter Filing Date"),"Error in Filing Date",IF('R8a - Tax Reconciliation'!B$11="Original Filing",D61-I61,E61-I61)))</f>
        <v>0</v>
      </c>
      <c r="L61" s="739"/>
      <c r="M61" s="749"/>
    </row>
    <row r="62" spans="1:23">
      <c r="A62" s="698" t="s">
        <v>576</v>
      </c>
      <c r="B62" s="750"/>
      <c r="C62" s="686" t="s">
        <v>559</v>
      </c>
      <c r="D62" s="519"/>
      <c r="E62" s="519"/>
      <c r="F62" s="687"/>
      <c r="G62" s="657"/>
      <c r="H62" s="519"/>
      <c r="I62" s="768">
        <f t="shared" si="4"/>
        <v>0</v>
      </c>
      <c r="J62" s="687"/>
      <c r="K62" s="766">
        <f>IF(E$11&lt;&gt;"",IF(OR(B$11="No Filing Date","Enter Filing Date",E$11&lt;D$11),"Error in Filing Date",IF('R8a - Tax Reconciliation'!B$11="Original Filing",D62-I62,E62-I62)),IF(OR(B$11="No Filing Date","Enter Filing Date"),"Error in Filing Date",IF('R8a - Tax Reconciliation'!B$11="Original Filing",D62-I62,E62-I62)))</f>
        <v>0</v>
      </c>
      <c r="L62" s="739"/>
      <c r="M62" s="743"/>
    </row>
    <row r="63" spans="1:23">
      <c r="A63" s="747"/>
      <c r="B63" s="748"/>
      <c r="D63" s="688"/>
      <c r="E63" s="688"/>
      <c r="F63" s="688"/>
      <c r="G63" s="691"/>
      <c r="H63" s="688"/>
      <c r="I63" s="688"/>
      <c r="J63" s="688"/>
      <c r="K63" s="688"/>
      <c r="L63" s="745"/>
      <c r="M63" s="746"/>
      <c r="N63" s="741"/>
      <c r="O63" s="741"/>
      <c r="P63" s="741"/>
      <c r="Q63" s="741"/>
    </row>
    <row r="64" spans="1:23">
      <c r="A64" s="689" t="s">
        <v>593</v>
      </c>
      <c r="B64" s="748"/>
      <c r="D64" s="688"/>
      <c r="E64" s="688"/>
      <c r="F64" s="688"/>
      <c r="G64" s="691"/>
      <c r="H64" s="688"/>
      <c r="I64" s="688"/>
      <c r="J64" s="688"/>
      <c r="K64" s="688"/>
      <c r="L64" s="745"/>
      <c r="M64" s="746"/>
    </row>
    <row r="65" spans="1:18">
      <c r="A65" s="698" t="s">
        <v>594</v>
      </c>
      <c r="B65" s="750"/>
      <c r="C65" s="686" t="s">
        <v>559</v>
      </c>
      <c r="D65" s="519"/>
      <c r="E65" s="519"/>
      <c r="F65" s="687"/>
      <c r="G65" s="657" t="str">
        <f t="shared" ref="G65:G67" si="6">IF($B$4="ESO2", $B$4&amp; " " &amp;"PCFM - see Tax Allowance in 'System Operator' worksheet",  $B$4&amp; " " &amp;"PCFM - see Tax Allowance in 'Finance &amp;Tax' worksheet")</f>
        <v>GD2 PCFM - see Tax Allowance in 'Finance &amp;Tax' worksheet</v>
      </c>
      <c r="H65" s="625"/>
      <c r="I65" s="768">
        <f>1/(1-H$13)*H65</f>
        <v>0</v>
      </c>
      <c r="J65" s="752"/>
      <c r="K65" s="766">
        <f>IF(E$11&lt;&gt;"",IF(OR(B$11="No Filing Date","Enter Filing Date",E$11&lt;D$11),"Error in Filing Date",IF('R8a - Tax Reconciliation'!B$11="Original Filing",D65-I65,E65-I65)),IF(OR(B$11="No Filing Date","Enter Filing Date"),"Error in Filing Date",IF('R8a - Tax Reconciliation'!B$11="Original Filing",D65-I65,E65-I65)))</f>
        <v>0</v>
      </c>
      <c r="L65" s="739"/>
      <c r="M65" s="749"/>
      <c r="N65" s="741"/>
      <c r="O65" s="741"/>
      <c r="P65" s="741"/>
      <c r="Q65" s="741"/>
    </row>
    <row r="66" spans="1:18">
      <c r="A66" s="698" t="s">
        <v>595</v>
      </c>
      <c r="B66" s="750"/>
      <c r="C66" s="686" t="s">
        <v>559</v>
      </c>
      <c r="D66" s="519"/>
      <c r="E66" s="519"/>
      <c r="F66" s="687"/>
      <c r="G66" s="657" t="str">
        <f t="shared" si="6"/>
        <v>GD2 PCFM - see Tax Allowance in 'Finance &amp;Tax' worksheet</v>
      </c>
      <c r="H66" s="625"/>
      <c r="I66" s="768">
        <f t="shared" ref="I66:I67" si="7">1/(1-H$13)*H66</f>
        <v>0</v>
      </c>
      <c r="J66" s="752"/>
      <c r="K66" s="766">
        <f>IF(E$11&lt;&gt;"",IF(OR(B$11="No Filing Date","Enter Filing Date",E$11&lt;D$11),"Error in Filing Date",IF('R8a - Tax Reconciliation'!B$11="Original Filing",D66-I66,E66-I66)),IF(OR(B$11="No Filing Date","Enter Filing Date"),"Error in Filing Date",IF('R8a - Tax Reconciliation'!B$11="Original Filing",D66-I66,E66-I66)))</f>
        <v>0</v>
      </c>
      <c r="L66" s="739"/>
      <c r="M66" s="749"/>
      <c r="N66" s="741"/>
      <c r="O66" s="741"/>
      <c r="P66" s="741"/>
      <c r="Q66" s="741"/>
    </row>
    <row r="67" spans="1:18">
      <c r="A67" s="698" t="s">
        <v>596</v>
      </c>
      <c r="B67" s="750"/>
      <c r="C67" s="686" t="s">
        <v>559</v>
      </c>
      <c r="D67" s="519"/>
      <c r="E67" s="519"/>
      <c r="F67" s="687"/>
      <c r="G67" s="657" t="str">
        <f t="shared" si="6"/>
        <v>GD2 PCFM - see Tax Allowance in 'Finance &amp;Tax' worksheet</v>
      </c>
      <c r="H67" s="625"/>
      <c r="I67" s="768">
        <f t="shared" si="7"/>
        <v>0</v>
      </c>
      <c r="J67" s="752"/>
      <c r="K67" s="766">
        <f>IF(E$11&lt;&gt;"",IF(OR(B$11="No Filing Date","Enter Filing Date",E$11&lt;D$11),"Error in Filing Date",IF('R8a - Tax Reconciliation'!B$11="Original Filing",D67-I67,E67-I67)),IF(OR(B$11="No Filing Date","Enter Filing Date"),"Error in Filing Date",IF('R8a - Tax Reconciliation'!B$11="Original Filing",D67-I67,E67-I67)))</f>
        <v>0</v>
      </c>
      <c r="L67" s="739"/>
      <c r="M67" s="749"/>
      <c r="N67" s="741"/>
      <c r="O67" s="741"/>
      <c r="P67" s="741"/>
      <c r="Q67" s="741"/>
    </row>
    <row r="68" spans="1:18">
      <c r="A68" s="698" t="s">
        <v>597</v>
      </c>
      <c r="B68" s="750"/>
      <c r="C68" s="686" t="s">
        <v>559</v>
      </c>
      <c r="D68" s="519"/>
      <c r="E68" s="519"/>
      <c r="F68" s="687"/>
      <c r="G68" s="657"/>
      <c r="H68" s="519"/>
      <c r="I68" s="768">
        <f>1/(1-H$13)*H68</f>
        <v>0</v>
      </c>
      <c r="J68" s="687"/>
      <c r="K68" s="766">
        <f>IF(E$11&lt;&gt;"",IF(OR(B$11="No Filing Date","Enter Filing Date",E$11&lt;D$11),"Error in Filing Date",IF('R8a - Tax Reconciliation'!B$11="Original Filing",D68-I68,E68-I68)),IF(OR(B$11="No Filing Date","Enter Filing Date"),"Error in Filing Date",IF('R8a - Tax Reconciliation'!B$11="Original Filing",D68-I68,E68-I68)))</f>
        <v>0</v>
      </c>
      <c r="L68" s="739"/>
      <c r="M68" s="749"/>
      <c r="N68" s="741"/>
      <c r="O68" s="741"/>
      <c r="P68" s="741"/>
      <c r="Q68" s="741"/>
    </row>
    <row r="69" spans="1:18" s="686" customFormat="1">
      <c r="A69" s="698" t="s">
        <v>598</v>
      </c>
      <c r="B69" s="750"/>
      <c r="C69" s="686" t="s">
        <v>559</v>
      </c>
      <c r="D69" s="519"/>
      <c r="E69" s="519"/>
      <c r="F69" s="687"/>
      <c r="G69" s="657"/>
      <c r="H69" s="519"/>
      <c r="I69" s="768">
        <f>1/(1-H$13)*H69</f>
        <v>0</v>
      </c>
      <c r="J69" s="687"/>
      <c r="K69" s="766">
        <f>IF(E$11&lt;&gt;"",IF(OR(B$11="No Filing Date","Enter Filing Date",E$11&lt;D$11),"Error in Filing Date",IF('R8a - Tax Reconciliation'!B$11="Original Filing",D69-I69,E69-I69)),IF(OR(B$11="No Filing Date","Enter Filing Date"),"Error in Filing Date",IF('R8a - Tax Reconciliation'!B$11="Original Filing",D69-I69,E69-I69)))</f>
        <v>0</v>
      </c>
      <c r="L69" s="739"/>
      <c r="M69" s="749"/>
    </row>
    <row r="70" spans="1:18">
      <c r="A70" s="698" t="s">
        <v>599</v>
      </c>
      <c r="B70" s="750"/>
      <c r="C70" s="686" t="s">
        <v>559</v>
      </c>
      <c r="D70" s="519"/>
      <c r="E70" s="519"/>
      <c r="F70" s="687"/>
      <c r="G70" s="657"/>
      <c r="H70" s="519"/>
      <c r="I70" s="768">
        <f>1/(1-H$13)*H70</f>
        <v>0</v>
      </c>
      <c r="J70" s="687"/>
      <c r="K70" s="766">
        <f>IF(E$11&lt;&gt;"",IF(OR(B$11="No Filing Date","Enter Filing Date",E$11&lt;D$11),"Error in Filing Date",IF('R8a - Tax Reconciliation'!B$11="Original Filing",D70-I70,E70-I70)),IF(OR(B$11="No Filing Date","Enter Filing Date"),"Error in Filing Date",IF('R8a - Tax Reconciliation'!B$11="Original Filing",D70-I70,E70-I70)))</f>
        <v>0</v>
      </c>
      <c r="L70" s="739"/>
      <c r="M70" s="749"/>
      <c r="N70" s="741"/>
      <c r="O70" s="741"/>
      <c r="P70" s="741"/>
      <c r="Q70" s="741"/>
    </row>
    <row r="71" spans="1:18">
      <c r="A71" s="698" t="s">
        <v>576</v>
      </c>
      <c r="B71" s="750"/>
      <c r="C71" s="741" t="s">
        <v>559</v>
      </c>
      <c r="D71" s="519"/>
      <c r="E71" s="519"/>
      <c r="F71" s="687"/>
      <c r="G71" s="657"/>
      <c r="H71" s="519"/>
      <c r="I71" s="768">
        <f>1/(1-H$13)*H71</f>
        <v>0</v>
      </c>
      <c r="J71" s="687"/>
      <c r="K71" s="766">
        <f>IF(E$11&lt;&gt;"",IF(OR(B$11="No Filing Date","Enter Filing Date",E$11&lt;D$11),"Error in Filing Date",IF('R8a - Tax Reconciliation'!B$11="Original Filing",D71-I71,E71-I71)),IF(OR(B$11="No Filing Date","Enter Filing Date"),"Error in Filing Date",IF('R8a - Tax Reconciliation'!B$11="Original Filing",D71-I71,E71-I71)))</f>
        <v>0</v>
      </c>
      <c r="L71" s="739"/>
      <c r="M71" s="743"/>
      <c r="N71" s="741"/>
      <c r="O71" s="741"/>
      <c r="P71" s="741"/>
      <c r="Q71" s="741"/>
    </row>
    <row r="72" spans="1:18" s="686" customFormat="1">
      <c r="A72" s="861"/>
      <c r="B72" s="862"/>
      <c r="C72" s="673"/>
      <c r="D72" s="688"/>
      <c r="E72" s="688"/>
      <c r="F72" s="688"/>
      <c r="G72" s="691"/>
      <c r="H72" s="688"/>
      <c r="I72" s="688"/>
      <c r="J72" s="688"/>
      <c r="K72" s="688"/>
      <c r="L72" s="745"/>
      <c r="M72" s="746"/>
    </row>
    <row r="73" spans="1:18" s="686" customFormat="1">
      <c r="A73" s="855" t="s">
        <v>600</v>
      </c>
      <c r="B73" s="856"/>
      <c r="C73" s="673"/>
      <c r="D73" s="688"/>
      <c r="E73" s="688"/>
      <c r="F73" s="688"/>
      <c r="G73" s="691"/>
      <c r="H73" s="688"/>
      <c r="I73" s="688"/>
      <c r="J73" s="688"/>
      <c r="K73" s="688"/>
      <c r="L73" s="745"/>
      <c r="M73" s="746"/>
    </row>
    <row r="74" spans="1:18">
      <c r="A74" s="685" t="s">
        <v>601</v>
      </c>
      <c r="B74" s="722"/>
      <c r="C74" s="686" t="s">
        <v>559</v>
      </c>
      <c r="D74" s="519"/>
      <c r="E74" s="519"/>
      <c r="F74" s="521"/>
      <c r="G74" s="657"/>
      <c r="H74" s="519"/>
      <c r="I74" s="768">
        <f t="shared" ref="I74:I80" si="8">1/(1-H$13)*H74</f>
        <v>0</v>
      </c>
      <c r="J74" s="687"/>
      <c r="K74" s="766">
        <f>IF(E$11&lt;&gt;"",IF(OR(B$11="No Filing Date","Enter Filing Date",E$11&lt;D$11),"Error in Filing Date",IF('R8a - Tax Reconciliation'!B$11="Original Filing",D74-I74,E74-I74)),IF(OR(B$11="No Filing Date","Enter Filing Date"),"Error in Filing Date",IF('R8a - Tax Reconciliation'!B$11="Original Filing",D74-I74,E74-I74)))</f>
        <v>0</v>
      </c>
      <c r="L74" s="739"/>
      <c r="M74" s="749"/>
      <c r="N74" s="741"/>
      <c r="O74" s="741"/>
      <c r="P74" s="741"/>
      <c r="Q74" s="741"/>
    </row>
    <row r="75" spans="1:18">
      <c r="A75" s="685" t="s">
        <v>602</v>
      </c>
      <c r="B75" s="722"/>
      <c r="C75" s="686" t="s">
        <v>559</v>
      </c>
      <c r="D75" s="519"/>
      <c r="E75" s="519"/>
      <c r="F75" s="521"/>
      <c r="G75" s="657"/>
      <c r="H75" s="519"/>
      <c r="I75" s="768">
        <f t="shared" si="8"/>
        <v>0</v>
      </c>
      <c r="J75" s="687"/>
      <c r="K75" s="766">
        <f>IF(E$11&lt;&gt;"",IF(OR(B$11="No Filing Date","Enter Filing Date",E$11&lt;D$11),"Error in Filing Date",IF('R8a - Tax Reconciliation'!B$11="Original Filing",D75-I75,E75-I75)),IF(OR(B$11="No Filing Date","Enter Filing Date"),"Error in Filing Date",IF('R8a - Tax Reconciliation'!B$11="Original Filing",D75-I75,E75-I75)))</f>
        <v>0</v>
      </c>
      <c r="L75" s="739"/>
      <c r="M75" s="749"/>
      <c r="N75" s="741"/>
      <c r="O75" s="741"/>
      <c r="P75" s="741"/>
      <c r="Q75" s="741"/>
    </row>
    <row r="76" spans="1:18">
      <c r="A76" s="719" t="s">
        <v>603</v>
      </c>
      <c r="B76" s="720"/>
      <c r="C76" s="686" t="s">
        <v>559</v>
      </c>
      <c r="D76" s="519"/>
      <c r="E76" s="519"/>
      <c r="F76" s="521"/>
      <c r="G76" s="657"/>
      <c r="H76" s="519"/>
      <c r="I76" s="768">
        <f t="shared" si="8"/>
        <v>0</v>
      </c>
      <c r="J76" s="687"/>
      <c r="K76" s="766">
        <f>IF(E$11&lt;&gt;"",IF(OR(B$11="No Filing Date","Enter Filing Date",E$11&lt;D$11),"Error in Filing Date",IF('R8a - Tax Reconciliation'!B$11="Original Filing",D76-I76,E76-I76)),IF(OR(B$11="No Filing Date","Enter Filing Date"),"Error in Filing Date",IF('R8a - Tax Reconciliation'!B$11="Original Filing",D76-I76,E76-I76)))</f>
        <v>0</v>
      </c>
      <c r="L76" s="739"/>
      <c r="M76" s="749"/>
      <c r="N76" s="741"/>
      <c r="O76" s="741"/>
      <c r="P76" s="741"/>
      <c r="Q76" s="741"/>
    </row>
    <row r="77" spans="1:18">
      <c r="A77" s="719" t="s">
        <v>604</v>
      </c>
      <c r="B77" s="720"/>
      <c r="C77" s="686" t="s">
        <v>559</v>
      </c>
      <c r="D77" s="519"/>
      <c r="E77" s="519"/>
      <c r="F77" s="521"/>
      <c r="G77" s="657"/>
      <c r="H77" s="519"/>
      <c r="I77" s="768">
        <f t="shared" si="8"/>
        <v>0</v>
      </c>
      <c r="J77" s="687"/>
      <c r="K77" s="766">
        <f>IF(E$11&lt;&gt;"",IF(OR(B$11="No Filing Date","Enter Filing Date",E$11&lt;D$11),"Error in Filing Date",IF('R8a - Tax Reconciliation'!B$11="Original Filing",D77-I77,E77-I77)),IF(OR(B$11="No Filing Date","Enter Filing Date"),"Error in Filing Date",IF('R8a - Tax Reconciliation'!B$11="Original Filing",D77-I77,E77-I77)))</f>
        <v>0</v>
      </c>
      <c r="L77" s="739"/>
      <c r="M77" s="749"/>
      <c r="N77" s="741"/>
      <c r="O77" s="741"/>
      <c r="P77" s="741"/>
      <c r="Q77" s="741"/>
    </row>
    <row r="78" spans="1:18">
      <c r="A78" s="719" t="s">
        <v>605</v>
      </c>
      <c r="B78" s="720"/>
      <c r="C78" s="686" t="s">
        <v>559</v>
      </c>
      <c r="D78" s="519"/>
      <c r="E78" s="519"/>
      <c r="F78" s="521"/>
      <c r="G78" s="657"/>
      <c r="H78" s="519"/>
      <c r="I78" s="768">
        <f t="shared" si="8"/>
        <v>0</v>
      </c>
      <c r="J78" s="687"/>
      <c r="K78" s="766">
        <f>IF(E$11&lt;&gt;"",IF(OR(B$11="No Filing Date","Enter Filing Date",E$11&lt;D$11),"Error in Filing Date",IF('R8a - Tax Reconciliation'!B$11="Original Filing",D78-I78,E78-I78)),IF(OR(B$11="No Filing Date","Enter Filing Date"),"Error in Filing Date",IF('R8a - Tax Reconciliation'!B$11="Original Filing",D78-I78,E78-I78)))</f>
        <v>0</v>
      </c>
      <c r="L78" s="739"/>
      <c r="M78" s="749"/>
      <c r="N78" s="686"/>
      <c r="O78" s="686"/>
      <c r="P78" s="686"/>
      <c r="Q78" s="686"/>
      <c r="R78" s="686"/>
    </row>
    <row r="79" spans="1:18">
      <c r="A79" s="719" t="s">
        <v>606</v>
      </c>
      <c r="B79" s="720"/>
      <c r="C79" s="686" t="s">
        <v>559</v>
      </c>
      <c r="D79" s="519"/>
      <c r="E79" s="519"/>
      <c r="F79" s="521"/>
      <c r="G79" s="657"/>
      <c r="H79" s="519"/>
      <c r="I79" s="768">
        <f t="shared" si="8"/>
        <v>0</v>
      </c>
      <c r="J79" s="687"/>
      <c r="K79" s="766">
        <f>IF(E$11&lt;&gt;"",IF(OR(B$11="No Filing Date","Enter Filing Date",E$11&lt;D$11),"Error in Filing Date",IF('R8a - Tax Reconciliation'!B$11="Original Filing",D79-I79,E79-I79)),IF(OR(B$11="No Filing Date","Enter Filing Date"),"Error in Filing Date",IF('R8a - Tax Reconciliation'!B$11="Original Filing",D79-I79,E79-I79)))</f>
        <v>0</v>
      </c>
      <c r="L79" s="739"/>
      <c r="M79" s="749"/>
      <c r="N79" s="741"/>
      <c r="O79" s="741"/>
      <c r="P79" s="741"/>
      <c r="Q79" s="741"/>
    </row>
    <row r="80" spans="1:18">
      <c r="A80" s="734" t="s">
        <v>576</v>
      </c>
      <c r="B80" s="735"/>
      <c r="C80" s="686" t="s">
        <v>559</v>
      </c>
      <c r="D80" s="519"/>
      <c r="E80" s="519"/>
      <c r="F80" s="521"/>
      <c r="G80" s="657"/>
      <c r="H80" s="519"/>
      <c r="I80" s="768">
        <f t="shared" si="8"/>
        <v>0</v>
      </c>
      <c r="J80" s="687"/>
      <c r="K80" s="766">
        <f>IF(E$11&lt;&gt;"",IF(OR(B$11="No Filing Date","Enter Filing Date",E$11&lt;D$11),"Error in Filing Date",IF('R8a - Tax Reconciliation'!B$11="Original Filing",D80-I80,E80-I80)),IF(OR(B$11="No Filing Date","Enter Filing Date"),"Error in Filing Date",IF('R8a - Tax Reconciliation'!B$11="Original Filing",D80-I80,E80-I80)))</f>
        <v>0</v>
      </c>
      <c r="L80" s="739"/>
      <c r="M80" s="743"/>
      <c r="N80" s="741"/>
      <c r="O80" s="741"/>
      <c r="P80" s="741"/>
      <c r="Q80" s="741"/>
    </row>
    <row r="81" spans="1:18">
      <c r="D81" s="753"/>
      <c r="E81" s="753"/>
      <c r="F81" s="688"/>
      <c r="G81" s="691"/>
      <c r="H81" s="753"/>
      <c r="I81" s="688"/>
      <c r="J81" s="688"/>
      <c r="K81" s="688"/>
      <c r="L81" s="745"/>
      <c r="M81" s="746"/>
      <c r="N81" s="741"/>
      <c r="O81" s="741"/>
      <c r="P81" s="741"/>
      <c r="Q81" s="741"/>
    </row>
    <row r="82" spans="1:18">
      <c r="A82" s="863" t="s">
        <v>607</v>
      </c>
      <c r="B82" s="864"/>
      <c r="C82" s="750" t="s">
        <v>559</v>
      </c>
      <c r="D82" s="732">
        <f>SUM(D45:D81)</f>
        <v>0</v>
      </c>
      <c r="E82" s="732">
        <f>SUM(E45:E81)</f>
        <v>0</v>
      </c>
      <c r="F82" s="520"/>
      <c r="G82" s="754" t="s">
        <v>608</v>
      </c>
      <c r="H82" s="732">
        <f>SUM(H45:H81)</f>
        <v>0</v>
      </c>
      <c r="I82" s="732">
        <f>SUM(I45:I81)</f>
        <v>0</v>
      </c>
      <c r="J82" s="752"/>
      <c r="K82" s="727">
        <f>IF(E$11&lt;&gt;"",IF(OR(B$11="No Filing Date","Enter Filing Date",E$11&lt;D$11),"Error in Filing Date",IF('R8a - Tax Reconciliation'!B$11="Original Filing",D82-I82,E82-I82)),IF(OR(B$11="No Filing Date","Enter Filing Date"),"Error in Filing Date",IF('R8a - Tax Reconciliation'!B$11="Original Filing",D82-I82,E82-I82)))</f>
        <v>0</v>
      </c>
      <c r="L82" s="739"/>
      <c r="M82" s="743"/>
      <c r="N82" s="792"/>
      <c r="O82" s="792"/>
      <c r="P82" s="792"/>
      <c r="Q82" s="792"/>
    </row>
    <row r="83" spans="1:18">
      <c r="A83" s="755"/>
      <c r="B83" s="755"/>
      <c r="C83" s="686"/>
      <c r="D83" s="699"/>
      <c r="E83" s="699"/>
      <c r="F83" s="521"/>
      <c r="G83" s="521"/>
      <c r="H83" s="699"/>
      <c r="I83" s="521"/>
      <c r="J83" s="687"/>
      <c r="K83" s="756"/>
      <c r="L83" s="739"/>
      <c r="M83" s="740"/>
      <c r="N83" s="792"/>
      <c r="O83" s="792"/>
      <c r="P83" s="792"/>
      <c r="Q83" s="792"/>
    </row>
    <row r="84" spans="1:18">
      <c r="A84" s="793" t="s">
        <v>609</v>
      </c>
      <c r="B84" s="796"/>
      <c r="C84" s="686"/>
      <c r="D84" s="521"/>
      <c r="E84" s="521"/>
      <c r="F84" s="521"/>
      <c r="G84" s="521"/>
      <c r="H84" s="521"/>
      <c r="I84" s="521"/>
      <c r="J84" s="687"/>
      <c r="K84" s="687"/>
      <c r="L84" s="739"/>
      <c r="M84" s="740"/>
      <c r="N84" s="792"/>
      <c r="O84" s="792"/>
      <c r="P84" s="792"/>
      <c r="Q84" s="792"/>
    </row>
    <row r="85" spans="1:18">
      <c r="A85" s="757"/>
      <c r="B85" s="758"/>
      <c r="C85" s="686"/>
      <c r="D85" s="521"/>
      <c r="E85" s="521"/>
      <c r="F85" s="521"/>
      <c r="G85" s="521"/>
      <c r="H85" s="521"/>
      <c r="I85" s="521"/>
      <c r="J85" s="687"/>
      <c r="K85" s="687"/>
      <c r="L85" s="739"/>
      <c r="M85" s="740"/>
      <c r="N85" s="792"/>
      <c r="O85" s="792"/>
      <c r="P85" s="792"/>
      <c r="Q85" s="792"/>
      <c r="R85" s="686"/>
    </row>
    <row r="86" spans="1:18">
      <c r="A86" s="721" t="s">
        <v>610</v>
      </c>
      <c r="B86" s="759"/>
      <c r="D86" s="517"/>
      <c r="E86" s="518"/>
      <c r="F86" s="517"/>
      <c r="G86" s="658"/>
      <c r="H86" s="518"/>
      <c r="I86" s="517"/>
      <c r="J86" s="688"/>
      <c r="K86" s="688"/>
      <c r="L86" s="745"/>
      <c r="M86" s="760"/>
      <c r="N86" s="792"/>
      <c r="O86" s="792"/>
      <c r="P86" s="792"/>
      <c r="Q86" s="792"/>
    </row>
    <row r="87" spans="1:18" s="686" customFormat="1">
      <c r="A87" s="719" t="s">
        <v>611</v>
      </c>
      <c r="B87" s="758"/>
      <c r="C87" s="686" t="s">
        <v>559</v>
      </c>
      <c r="D87" s="519"/>
      <c r="E87" s="519"/>
      <c r="F87" s="521"/>
      <c r="G87" s="657" t="str">
        <f t="shared" ref="G87:G91" si="9">IF($B$4="ESO2", $B$4&amp; " " &amp;"PCFM - see Tax Allowance in 'System Operator' worksheet",  $B$4&amp; " " &amp;"PCFM - see Tax Allowance in 'Finance &amp;Tax' worksheet")</f>
        <v>GD2 PCFM - see Tax Allowance in 'Finance &amp;Tax' worksheet</v>
      </c>
      <c r="H87" s="625"/>
      <c r="I87" s="768">
        <f t="shared" ref="I87:I91" si="10">1/(1-H$13)*H87</f>
        <v>0</v>
      </c>
      <c r="J87" s="687"/>
      <c r="K87" s="766">
        <f>IF(E$11&lt;&gt;"",IF(OR(B$11="No Filing Date","Enter Filing Date",E$11&lt;D$11),"Error in Filing Date",IF('R8a - Tax Reconciliation'!B$11="Original Filing",D87-I87,E87-I87)),IF(OR(B$11="No Filing Date","Enter Filing Date"),"Error in Filing Date",IF('R8a - Tax Reconciliation'!B$11="Original Filing",D87-I87,E87-I87)))</f>
        <v>0</v>
      </c>
      <c r="L87" s="739"/>
      <c r="M87" s="749"/>
      <c r="N87" s="792"/>
      <c r="O87" s="792"/>
      <c r="P87" s="792"/>
      <c r="Q87" s="792"/>
    </row>
    <row r="88" spans="1:18" s="686" customFormat="1">
      <c r="A88" s="719" t="s">
        <v>612</v>
      </c>
      <c r="B88" s="758"/>
      <c r="C88" s="686" t="s">
        <v>559</v>
      </c>
      <c r="D88" s="519"/>
      <c r="E88" s="519"/>
      <c r="F88" s="521"/>
      <c r="G88" s="657" t="str">
        <f t="shared" si="9"/>
        <v>GD2 PCFM - see Tax Allowance in 'Finance &amp;Tax' worksheet</v>
      </c>
      <c r="H88" s="625"/>
      <c r="I88" s="768">
        <f t="shared" si="10"/>
        <v>0</v>
      </c>
      <c r="J88" s="687"/>
      <c r="K88" s="766">
        <f>IF(E$11&lt;&gt;"",IF(OR(B$11="No Filing Date","Enter Filing Date",E$11&lt;D$11),"Error in Filing Date",IF('R8a - Tax Reconciliation'!B$11="Original Filing",D88-I88,E88-I88)),IF(OR(B$11="No Filing Date","Enter Filing Date"),"Error in Filing Date",IF('R8a - Tax Reconciliation'!B$11="Original Filing",D88-I88,E88-I88)))</f>
        <v>0</v>
      </c>
      <c r="L88" s="739"/>
      <c r="M88" s="749"/>
      <c r="N88" s="792"/>
      <c r="O88" s="792"/>
      <c r="P88" s="792"/>
      <c r="Q88" s="792"/>
    </row>
    <row r="89" spans="1:18" s="686" customFormat="1">
      <c r="A89" s="719" t="s">
        <v>613</v>
      </c>
      <c r="B89" s="758"/>
      <c r="C89" s="686" t="s">
        <v>559</v>
      </c>
      <c r="D89" s="519"/>
      <c r="E89" s="519"/>
      <c r="F89" s="521"/>
      <c r="G89" s="657" t="str">
        <f t="shared" si="9"/>
        <v>GD2 PCFM - see Tax Allowance in 'Finance &amp;Tax' worksheet</v>
      </c>
      <c r="H89" s="625"/>
      <c r="I89" s="768">
        <f t="shared" si="10"/>
        <v>0</v>
      </c>
      <c r="J89" s="687"/>
      <c r="K89" s="766">
        <f>IF(E$11&lt;&gt;"",IF(OR(B$11="No Filing Date","Enter Filing Date",E$11&lt;D$11),"Error in Filing Date",IF('R8a - Tax Reconciliation'!B$11="Original Filing",D89-I89,E89-I89)),IF(OR(B$11="No Filing Date","Enter Filing Date"),"Error in Filing Date",IF('R8a - Tax Reconciliation'!B$11="Original Filing",D89-I89,E89-I89)))</f>
        <v>0</v>
      </c>
      <c r="L89" s="739"/>
      <c r="M89" s="749"/>
      <c r="N89" s="792"/>
      <c r="O89" s="792"/>
      <c r="P89" s="792"/>
      <c r="Q89" s="792"/>
    </row>
    <row r="90" spans="1:18" s="686" customFormat="1">
      <c r="A90" s="719" t="s">
        <v>614</v>
      </c>
      <c r="B90" s="758"/>
      <c r="C90" s="686" t="s">
        <v>559</v>
      </c>
      <c r="D90" s="519"/>
      <c r="E90" s="519"/>
      <c r="F90" s="521"/>
      <c r="G90" s="657" t="str">
        <f t="shared" si="9"/>
        <v>GD2 PCFM - see Tax Allowance in 'Finance &amp;Tax' worksheet</v>
      </c>
      <c r="H90" s="625"/>
      <c r="I90" s="768">
        <f t="shared" si="10"/>
        <v>0</v>
      </c>
      <c r="J90" s="687"/>
      <c r="K90" s="766">
        <f>IF(E$11&lt;&gt;"",IF(OR(B$11="No Filing Date","Enter Filing Date",E$11&lt;D$11),"Error in Filing Date",IF('R8a - Tax Reconciliation'!B$11="Original Filing",D90-I90,E90-I90)),IF(OR(B$11="No Filing Date","Enter Filing Date"),"Error in Filing Date",IF('R8a - Tax Reconciliation'!B$11="Original Filing",D90-I90,E90-I90)))</f>
        <v>0</v>
      </c>
      <c r="L90" s="739"/>
      <c r="M90" s="749"/>
      <c r="N90" s="792"/>
      <c r="O90" s="792"/>
      <c r="P90" s="792"/>
      <c r="Q90" s="792"/>
    </row>
    <row r="91" spans="1:18" s="686" customFormat="1">
      <c r="A91" s="719" t="s">
        <v>615</v>
      </c>
      <c r="B91" s="758"/>
      <c r="C91" s="686" t="s">
        <v>559</v>
      </c>
      <c r="D91" s="519"/>
      <c r="E91" s="519"/>
      <c r="F91" s="521"/>
      <c r="G91" s="657" t="str">
        <f t="shared" si="9"/>
        <v>GD2 PCFM - see Tax Allowance in 'Finance &amp;Tax' worksheet</v>
      </c>
      <c r="H91" s="625"/>
      <c r="I91" s="768">
        <f t="shared" si="10"/>
        <v>0</v>
      </c>
      <c r="J91" s="687"/>
      <c r="K91" s="766">
        <f>IF(E$11&lt;&gt;"",IF(OR(B$11="No Filing Date","Enter Filing Date",E$11&lt;D$11),"Error in Filing Date",IF('R8a - Tax Reconciliation'!B$11="Original Filing",D91-I91,E91-I91)),IF(OR(B$11="No Filing Date","Enter Filing Date"),"Error in Filing Date",IF('R8a - Tax Reconciliation'!B$11="Original Filing",D91-I91,E91-I91)))</f>
        <v>0</v>
      </c>
      <c r="L91" s="739"/>
      <c r="M91" s="749"/>
      <c r="N91" s="792"/>
      <c r="O91" s="792"/>
      <c r="P91" s="792"/>
      <c r="Q91" s="792"/>
    </row>
    <row r="92" spans="1:18" s="686" customFormat="1">
      <c r="A92" s="734" t="s">
        <v>616</v>
      </c>
      <c r="B92" s="735"/>
      <c r="C92" s="686" t="s">
        <v>559</v>
      </c>
      <c r="D92" s="519"/>
      <c r="E92" s="519"/>
      <c r="F92" s="521"/>
      <c r="G92" s="657"/>
      <c r="H92" s="519"/>
      <c r="I92" s="768">
        <f>1/(1-H$13)*H92</f>
        <v>0</v>
      </c>
      <c r="J92" s="687"/>
      <c r="K92" s="766">
        <f>IF(E$11&lt;&gt;"",IF(OR(B$11="No Filing Date","Enter Filing Date",E$11&lt;D$11),"Error in Filing Date",IF('R8a - Tax Reconciliation'!B$11="Original Filing",D92-I92,E92-I92)),IF(OR(B$11="No Filing Date","Enter Filing Date"),"Error in Filing Date",IF('R8a - Tax Reconciliation'!B$11="Original Filing",D92-I92,E92-I92)))</f>
        <v>0</v>
      </c>
      <c r="L92" s="739"/>
      <c r="M92" s="743"/>
      <c r="N92" s="792"/>
      <c r="O92" s="792"/>
      <c r="P92" s="792"/>
      <c r="Q92" s="792"/>
    </row>
    <row r="93" spans="1:18" s="686" customFormat="1">
      <c r="A93" s="673"/>
      <c r="B93" s="673"/>
      <c r="C93" s="673"/>
      <c r="D93" s="753"/>
      <c r="E93" s="753"/>
      <c r="F93" s="688"/>
      <c r="G93" s="691"/>
      <c r="H93" s="753"/>
      <c r="I93" s="688"/>
      <c r="J93" s="688"/>
      <c r="K93" s="753"/>
      <c r="L93" s="745"/>
      <c r="M93" s="746"/>
      <c r="N93" s="792"/>
      <c r="O93" s="792"/>
      <c r="P93" s="792"/>
      <c r="Q93" s="792"/>
    </row>
    <row r="94" spans="1:18" s="686" customFormat="1">
      <c r="A94" s="733" t="s">
        <v>617</v>
      </c>
      <c r="B94" s="761"/>
      <c r="C94" s="750" t="s">
        <v>559</v>
      </c>
      <c r="D94" s="727">
        <f>SUM(D82:D93)</f>
        <v>0</v>
      </c>
      <c r="E94" s="727">
        <f>SUM(E82:E93)</f>
        <v>0</v>
      </c>
      <c r="F94" s="762"/>
      <c r="G94" s="754" t="s">
        <v>618</v>
      </c>
      <c r="H94" s="727">
        <f>SUM(H82:H93)</f>
        <v>0</v>
      </c>
      <c r="I94" s="727">
        <f>SUM(I82:I93)</f>
        <v>0</v>
      </c>
      <c r="J94" s="752"/>
      <c r="K94" s="727">
        <f>IF(E$11&lt;&gt;"",IF(OR(B$11="No Filing Date","Enter Filing Date",E$11&lt;D$11),"Error in Filing Date",IF('R8a - Tax Reconciliation'!B$11="Original Filing",D94-I94,E94-I94)),IF(OR(B$11="No Filing Date","Enter Filing Date"),"Error in Filing Date",IF('R8a - Tax Reconciliation'!B$11="Original Filing",D94-I94,E94-I94)))</f>
        <v>0</v>
      </c>
      <c r="L94" s="739"/>
      <c r="M94" s="743"/>
      <c r="N94" s="792"/>
      <c r="O94" s="792"/>
      <c r="P94" s="792"/>
      <c r="Q94" s="792"/>
    </row>
    <row r="95" spans="1:18" s="686" customFormat="1">
      <c r="A95" s="763"/>
      <c r="B95" s="764"/>
      <c r="C95" s="673"/>
      <c r="D95" s="688"/>
      <c r="E95" s="688"/>
      <c r="F95" s="688"/>
      <c r="G95" s="688"/>
      <c r="H95" s="691"/>
      <c r="I95" s="691"/>
      <c r="J95" s="691"/>
      <c r="K95" s="691"/>
      <c r="L95" s="745"/>
      <c r="M95" s="746"/>
      <c r="N95" s="792"/>
      <c r="O95" s="792"/>
      <c r="P95" s="792"/>
      <c r="Q95" s="792"/>
    </row>
    <row r="96" spans="1:18" s="686" customFormat="1">
      <c r="A96" s="736" t="s">
        <v>619</v>
      </c>
      <c r="B96" s="765"/>
      <c r="C96" s="741" t="s">
        <v>559</v>
      </c>
      <c r="D96" s="727">
        <f>+D94*D13</f>
        <v>0</v>
      </c>
      <c r="E96" s="727">
        <f>+E94*E13</f>
        <v>0</v>
      </c>
      <c r="F96" s="687"/>
      <c r="G96" s="742" t="s">
        <v>620</v>
      </c>
      <c r="H96" s="727">
        <f>+H94*H13</f>
        <v>0</v>
      </c>
      <c r="I96" s="727">
        <f>+I94*I13</f>
        <v>0</v>
      </c>
      <c r="J96" s="687"/>
      <c r="K96" s="691"/>
      <c r="L96" s="691"/>
      <c r="M96" s="691"/>
      <c r="N96" s="791"/>
      <c r="O96" s="791"/>
      <c r="P96" s="791"/>
      <c r="Q96" s="791"/>
    </row>
    <row r="97" spans="1:13" s="742" customFormat="1">
      <c r="H97" s="773"/>
      <c r="I97" s="688"/>
    </row>
    <row r="98" spans="1:13">
      <c r="A98" s="854" t="s">
        <v>621</v>
      </c>
      <c r="B98" s="854"/>
      <c r="C98" s="673" t="s">
        <v>500</v>
      </c>
      <c r="D98" s="700">
        <f>INDEX(Data!$D$26:$K$26,MATCH($B$6,Data!$D$25:$K$25,0))</f>
        <v>1.0383269111980469</v>
      </c>
      <c r="E98" s="700">
        <f>INDEX(Data!$D$26:$K$26,MATCH($B$6,Data!$D$25:$K$25,0))</f>
        <v>1.0383269111980469</v>
      </c>
      <c r="F98" s="701"/>
      <c r="G98" s="658" t="s">
        <v>622</v>
      </c>
      <c r="H98" s="700">
        <f>INDEX(Data!$D$26:$K$26,MATCH($B$6,Data!$D$25:$K$25,0))</f>
        <v>1.0383269111980469</v>
      </c>
      <c r="I98" s="700">
        <f>INDEX(Data!$D$26:$K$26,MATCH($B$6,Data!$D$25:$K$25,0))</f>
        <v>1.0383269111980469</v>
      </c>
      <c r="J98" s="701"/>
      <c r="K98" s="701"/>
    </row>
    <row r="99" spans="1:13" ht="21" customHeight="1">
      <c r="A99" s="702" t="s">
        <v>623</v>
      </c>
      <c r="B99" s="703"/>
      <c r="C99" s="737" t="str">
        <f>IF($B$4="ED","20/21 Prices","18/19 Prices")</f>
        <v>18/19 Prices</v>
      </c>
      <c r="D99" s="704">
        <f>D96/D98</f>
        <v>0</v>
      </c>
      <c r="E99" s="704">
        <f>E96/E98</f>
        <v>0</v>
      </c>
      <c r="F99" s="705"/>
      <c r="G99" s="706" t="s">
        <v>624</v>
      </c>
      <c r="H99" s="704">
        <f>H96/H98</f>
        <v>0</v>
      </c>
      <c r="I99" s="704">
        <f>I96/I98</f>
        <v>0</v>
      </c>
      <c r="J99" s="705"/>
      <c r="K99" s="727">
        <f>IF(OR(B$11="No Filing Date","Enter Filing Date"),"Error in Filing Date",IF('R8a - Tax Reconciliation'!B$11="Original Filing",D99-I99,E99-I99))</f>
        <v>0</v>
      </c>
      <c r="M99" s="749"/>
    </row>
    <row r="100" spans="1:13">
      <c r="C100" s="707"/>
      <c r="D100" s="688"/>
      <c r="E100" s="688"/>
      <c r="F100" s="688"/>
      <c r="G100" s="691"/>
      <c r="H100" s="688"/>
      <c r="I100" s="708"/>
      <c r="J100" s="688"/>
      <c r="K100" s="688"/>
    </row>
    <row r="101" spans="1:13">
      <c r="D101" s="708"/>
      <c r="E101" s="708"/>
      <c r="F101" s="708"/>
      <c r="G101" s="709"/>
      <c r="H101" s="708"/>
      <c r="J101" s="708"/>
      <c r="K101" s="708"/>
    </row>
  </sheetData>
  <mergeCells count="20">
    <mergeCell ref="M8:M9"/>
    <mergeCell ref="A13:B13"/>
    <mergeCell ref="A27:B27"/>
    <mergeCell ref="A28:B28"/>
    <mergeCell ref="A7:B7"/>
    <mergeCell ref="A8:B9"/>
    <mergeCell ref="C8:C9"/>
    <mergeCell ref="G8:G9"/>
    <mergeCell ref="A17:B17"/>
    <mergeCell ref="A98:B98"/>
    <mergeCell ref="A73:B73"/>
    <mergeCell ref="A36:B36"/>
    <mergeCell ref="A37:B37"/>
    <mergeCell ref="A40:B40"/>
    <mergeCell ref="A42:B42"/>
    <mergeCell ref="A43:B43"/>
    <mergeCell ref="A39:B39"/>
    <mergeCell ref="A72:B72"/>
    <mergeCell ref="A82:B82"/>
    <mergeCell ref="A55:B55"/>
  </mergeCells>
  <pageMargins left="0.23622047244094491" right="0.23622047244094491" top="0.74803149606299213" bottom="0.74803149606299213" header="0.31496062992125984" footer="0.31496062992125984"/>
  <pageSetup paperSize="9" scale="43" fitToHeight="0" orientation="landscape" r:id="rId1"/>
  <headerFooter>
    <oddFooter>&amp;L&amp;F&amp;R&amp;D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FFFFCC"/>
    <pageSetUpPr fitToPage="1"/>
  </sheetPr>
  <dimension ref="A1:O82"/>
  <sheetViews>
    <sheetView showGridLines="0" zoomScaleNormal="100" workbookViewId="0">
      <pane ySplit="3" topLeftCell="A4" activePane="bottomLeft" state="frozen"/>
      <selection activeCell="B3" sqref="B3:F3"/>
      <selection pane="bottomLeft" activeCell="D13" sqref="D13"/>
    </sheetView>
  </sheetViews>
  <sheetFormatPr defaultRowHeight="12.4"/>
  <cols>
    <col min="1" max="1" width="8.3515625" customWidth="1"/>
    <col min="2" max="2" width="44.46875" customWidth="1"/>
    <col min="3" max="3" width="15.1171875" customWidth="1"/>
    <col min="4" max="4" width="14.76171875" customWidth="1"/>
    <col min="5" max="5" width="14.87890625" customWidth="1"/>
    <col min="6" max="6" width="14.3515625" customWidth="1"/>
    <col min="7" max="8" width="11.1171875" customWidth="1"/>
    <col min="9" max="9" width="5" customWidth="1"/>
    <col min="14" max="14" width="13.1171875" customWidth="1"/>
  </cols>
  <sheetData>
    <row r="1" spans="1:15" ht="20.65">
      <c r="A1" s="777" t="s">
        <v>184</v>
      </c>
      <c r="B1" s="397"/>
      <c r="C1" s="398"/>
      <c r="D1" s="398"/>
      <c r="E1" s="398"/>
      <c r="F1" s="398"/>
      <c r="G1" s="398"/>
      <c r="H1" s="398"/>
      <c r="I1" s="786"/>
    </row>
    <row r="2" spans="1:15" ht="20.65">
      <c r="A2" s="295" t="str">
        <f>Licensee</f>
        <v>Cadent-NW</v>
      </c>
      <c r="B2" s="290"/>
      <c r="C2" s="16"/>
      <c r="D2" s="16"/>
      <c r="E2" s="16"/>
      <c r="F2" s="16"/>
      <c r="G2" s="16"/>
      <c r="H2" s="16"/>
      <c r="I2" s="65"/>
    </row>
    <row r="3" spans="1:15" ht="20.65">
      <c r="A3" s="290">
        <f>Reporting_Year</f>
        <v>2022</v>
      </c>
      <c r="B3" s="577"/>
      <c r="C3" s="577"/>
      <c r="D3" s="577"/>
      <c r="E3" s="577"/>
      <c r="F3" s="577"/>
      <c r="G3" s="577"/>
      <c r="H3" s="577"/>
      <c r="I3" s="119"/>
    </row>
    <row r="4" spans="1:15" s="2" customFormat="1" ht="12.75" customHeight="1"/>
    <row r="5" spans="1:15" s="2" customFormat="1">
      <c r="B5" s="3"/>
      <c r="C5" s="3"/>
      <c r="D5" s="153" t="str">
        <f t="shared" ref="D5:H5" si="0">IF(D6&lt;=Reporting_Year,"Actuals","Forecast")</f>
        <v>Actuals</v>
      </c>
      <c r="E5" s="153" t="str">
        <f t="shared" si="0"/>
        <v>Forecast</v>
      </c>
      <c r="F5" s="153" t="str">
        <f t="shared" si="0"/>
        <v>Forecast</v>
      </c>
      <c r="G5" s="153" t="str">
        <f t="shared" si="0"/>
        <v>Forecast</v>
      </c>
      <c r="H5" s="153" t="str">
        <f t="shared" si="0"/>
        <v>Forecast</v>
      </c>
    </row>
    <row r="6" spans="1:15" s="2" customFormat="1">
      <c r="D6" s="62">
        <f>'RFPR cover'!$C$6</f>
        <v>2022</v>
      </c>
      <c r="E6" s="63">
        <f>D6+1</f>
        <v>2023</v>
      </c>
      <c r="F6" s="63">
        <f t="shared" ref="F6:H6" si="1">E6+1</f>
        <v>2024</v>
      </c>
      <c r="G6" s="63">
        <f t="shared" si="1"/>
        <v>2025</v>
      </c>
      <c r="H6" s="63">
        <f t="shared" si="1"/>
        <v>2026</v>
      </c>
    </row>
    <row r="7" spans="1:15" s="2" customFormat="1">
      <c r="D7" s="62" t="str">
        <f>RIIO_2_start_date-1&amp;"/"&amp;RIGHT(RIIO_2_start_date,2)</f>
        <v>2021/22</v>
      </c>
      <c r="E7" s="62" t="str">
        <f>RIIO_2_start_date&amp;"/"&amp;RIGHT(RIIO_2_start_date+1,2)</f>
        <v>2022/23</v>
      </c>
      <c r="F7" s="62" t="str">
        <f>RIIO_2_start_date+1&amp;"/"&amp;RIGHT(RIIO_2_start_date+2,2)</f>
        <v>2023/24</v>
      </c>
      <c r="G7" s="62" t="str">
        <f>RIIO_2_start_date+2&amp;"/"&amp;RIGHT(RIIO_2_start_date+3,2)</f>
        <v>2024/25</v>
      </c>
      <c r="H7" s="422" t="str">
        <f>RIIO_2_start_date+3&amp;"/"&amp;RIGHT(RIIO_2_start_date+4,2)</f>
        <v>2025/26</v>
      </c>
    </row>
    <row r="8" spans="1:15" s="2" customFormat="1"/>
    <row r="9" spans="1:15" s="2" customFormat="1">
      <c r="A9" s="373" t="s">
        <v>625</v>
      </c>
      <c r="B9" s="374"/>
      <c r="C9" s="98"/>
      <c r="D9" s="98"/>
      <c r="E9" s="98"/>
      <c r="F9" s="98"/>
      <c r="G9" s="98"/>
      <c r="H9" s="98"/>
    </row>
    <row r="10" spans="1:15" s="2" customFormat="1"/>
    <row r="11" spans="1:15">
      <c r="B11" s="6" t="s">
        <v>626</v>
      </c>
      <c r="C11" s="75" t="s">
        <v>230</v>
      </c>
      <c r="D11" s="615">
        <v>46</v>
      </c>
      <c r="E11" s="615"/>
      <c r="F11" s="615"/>
      <c r="G11" s="615"/>
      <c r="H11" s="615"/>
      <c r="J11" s="2"/>
    </row>
    <row r="12" spans="1:15">
      <c r="B12" s="7" t="s">
        <v>627</v>
      </c>
      <c r="C12" s="6"/>
      <c r="D12" s="238"/>
      <c r="E12" s="238"/>
      <c r="F12" s="238"/>
      <c r="G12" s="238"/>
      <c r="H12" s="238"/>
      <c r="J12" s="2"/>
    </row>
    <row r="13" spans="1:15">
      <c r="B13" s="146" t="s">
        <v>526</v>
      </c>
      <c r="C13" s="75" t="s">
        <v>230</v>
      </c>
      <c r="D13" s="615">
        <v>0</v>
      </c>
      <c r="E13" s="615"/>
      <c r="F13" s="615"/>
      <c r="G13" s="615"/>
      <c r="H13" s="615"/>
      <c r="J13" s="2"/>
    </row>
    <row r="14" spans="1:15">
      <c r="B14" s="146" t="s">
        <v>526</v>
      </c>
      <c r="C14" s="75" t="s">
        <v>230</v>
      </c>
      <c r="D14" s="615">
        <v>0</v>
      </c>
      <c r="E14" s="615"/>
      <c r="F14" s="615"/>
      <c r="G14" s="615"/>
      <c r="H14" s="615"/>
      <c r="J14" s="2"/>
    </row>
    <row r="15" spans="1:15">
      <c r="B15" s="146" t="s">
        <v>527</v>
      </c>
      <c r="C15" s="75" t="s">
        <v>230</v>
      </c>
      <c r="D15" s="615">
        <v>0</v>
      </c>
      <c r="E15" s="615"/>
      <c r="F15" s="615"/>
      <c r="G15" s="615"/>
      <c r="H15" s="615"/>
      <c r="J15" s="2"/>
      <c r="N15" s="97"/>
    </row>
    <row r="16" spans="1:15">
      <c r="B16" s="6" t="s">
        <v>628</v>
      </c>
      <c r="C16" s="75" t="s">
        <v>230</v>
      </c>
      <c r="D16" s="237">
        <f>D11-SUM(D13:D15)</f>
        <v>46</v>
      </c>
      <c r="E16" s="237">
        <f t="shared" ref="E16:H16" si="2">E11-SUM(E13:E15)</f>
        <v>0</v>
      </c>
      <c r="F16" s="237">
        <f t="shared" si="2"/>
        <v>0</v>
      </c>
      <c r="G16" s="237">
        <f t="shared" si="2"/>
        <v>0</v>
      </c>
      <c r="H16" s="237">
        <f t="shared" si="2"/>
        <v>0</v>
      </c>
      <c r="J16" s="2"/>
      <c r="O16" s="96"/>
    </row>
    <row r="17" spans="1:14">
      <c r="C17" s="6"/>
      <c r="J17" s="2"/>
      <c r="N17" s="97"/>
    </row>
    <row r="18" spans="1:14">
      <c r="B18" s="6" t="s">
        <v>629</v>
      </c>
      <c r="C18" s="75" t="s">
        <v>230</v>
      </c>
      <c r="D18" s="615">
        <v>0</v>
      </c>
      <c r="E18" s="615"/>
      <c r="F18" s="615"/>
      <c r="G18" s="615"/>
      <c r="H18" s="615"/>
      <c r="J18" s="2"/>
    </row>
    <row r="19" spans="1:14">
      <c r="J19" s="2"/>
    </row>
    <row r="22" spans="1:14">
      <c r="A22" s="373" t="s">
        <v>630</v>
      </c>
      <c r="B22" s="375"/>
      <c r="C22" s="98"/>
      <c r="D22" s="98"/>
      <c r="E22" s="98"/>
      <c r="F22" s="98"/>
      <c r="G22" s="98"/>
      <c r="H22" s="98"/>
    </row>
    <row r="23" spans="1:14">
      <c r="D23" s="876" t="str">
        <f>Reporting_Year&amp;" "&amp;"- Actuals"</f>
        <v>2022 - Actuals</v>
      </c>
      <c r="E23" s="877"/>
      <c r="F23" s="877"/>
      <c r="G23" s="877"/>
      <c r="H23" s="878"/>
    </row>
    <row r="24" spans="1:14">
      <c r="D24" s="595" t="s">
        <v>631</v>
      </c>
      <c r="E24" s="595" t="s">
        <v>632</v>
      </c>
      <c r="F24" s="595" t="s">
        <v>633</v>
      </c>
      <c r="G24" s="595" t="s">
        <v>634</v>
      </c>
      <c r="H24" s="595" t="s">
        <v>635</v>
      </c>
    </row>
    <row r="25" spans="1:14" ht="35.25" customHeight="1">
      <c r="C25" t="s">
        <v>636</v>
      </c>
      <c r="D25" s="801" t="s">
        <v>637</v>
      </c>
      <c r="E25" s="801" t="s">
        <v>638</v>
      </c>
      <c r="F25" s="801" t="s">
        <v>639</v>
      </c>
      <c r="G25" s="801" t="s">
        <v>640</v>
      </c>
      <c r="H25" s="801">
        <v>0</v>
      </c>
    </row>
    <row r="26" spans="1:14" ht="44.65" customHeight="1">
      <c r="B26" s="6" t="s">
        <v>641</v>
      </c>
    </row>
    <row r="27" spans="1:14">
      <c r="B27" t="s">
        <v>642</v>
      </c>
      <c r="C27" s="75" t="s">
        <v>230</v>
      </c>
      <c r="D27" s="204">
        <v>145363</v>
      </c>
      <c r="E27" s="204">
        <v>13120.681233000001</v>
      </c>
      <c r="F27" s="204">
        <v>53705.824741935481</v>
      </c>
      <c r="G27" s="204">
        <v>56085.0965</v>
      </c>
      <c r="H27" s="204">
        <v>0</v>
      </c>
    </row>
    <row r="28" spans="1:14">
      <c r="B28" t="s">
        <v>643</v>
      </c>
      <c r="C28" s="75" t="s">
        <v>230</v>
      </c>
      <c r="D28" s="204">
        <v>0</v>
      </c>
      <c r="E28" s="204">
        <v>0</v>
      </c>
      <c r="F28" s="204">
        <v>0</v>
      </c>
      <c r="G28" s="204">
        <v>0</v>
      </c>
      <c r="H28" s="204">
        <v>0</v>
      </c>
    </row>
    <row r="29" spans="1:14">
      <c r="B29" s="146" t="s">
        <v>527</v>
      </c>
      <c r="C29" s="75" t="s">
        <v>230</v>
      </c>
      <c r="D29" s="204">
        <v>0</v>
      </c>
      <c r="E29" s="204">
        <v>0</v>
      </c>
      <c r="F29" s="204">
        <v>0</v>
      </c>
      <c r="G29" s="204">
        <v>0</v>
      </c>
      <c r="H29" s="204">
        <v>0</v>
      </c>
    </row>
    <row r="30" spans="1:14">
      <c r="B30" t="s">
        <v>644</v>
      </c>
      <c r="C30" s="75" t="s">
        <v>230</v>
      </c>
      <c r="D30" s="204">
        <v>4845.6970520000004</v>
      </c>
      <c r="E30" s="204">
        <v>480.53195000000005</v>
      </c>
      <c r="F30" s="204">
        <v>2938.0661171935485</v>
      </c>
      <c r="G30" s="204">
        <v>2922.8710330000004</v>
      </c>
      <c r="H30" s="204">
        <v>0</v>
      </c>
    </row>
    <row r="31" spans="1:14">
      <c r="B31" s="146" t="s">
        <v>527</v>
      </c>
      <c r="C31" s="75" t="s">
        <v>230</v>
      </c>
      <c r="D31" s="204">
        <v>0</v>
      </c>
      <c r="E31" s="204">
        <v>0</v>
      </c>
      <c r="F31" s="204">
        <v>0</v>
      </c>
      <c r="G31" s="204">
        <v>0</v>
      </c>
      <c r="H31" s="204">
        <v>0</v>
      </c>
    </row>
    <row r="32" spans="1:14">
      <c r="B32" t="s">
        <v>645</v>
      </c>
      <c r="C32" s="75" t="s">
        <v>230</v>
      </c>
      <c r="D32" s="204">
        <v>17443.560000000001</v>
      </c>
      <c r="E32" s="204">
        <v>1336.181462</v>
      </c>
      <c r="F32" s="204">
        <v>6444.698969032258</v>
      </c>
      <c r="G32" s="204">
        <v>11217.0193</v>
      </c>
      <c r="H32" s="204">
        <v>0</v>
      </c>
    </row>
    <row r="33" spans="2:8">
      <c r="B33" s="146" t="s">
        <v>527</v>
      </c>
      <c r="C33" s="75" t="s">
        <v>230</v>
      </c>
      <c r="D33" s="204">
        <v>0</v>
      </c>
      <c r="E33" s="204">
        <v>0</v>
      </c>
      <c r="F33" s="204">
        <v>0</v>
      </c>
      <c r="G33" s="204">
        <v>0</v>
      </c>
      <c r="H33" s="205">
        <v>0</v>
      </c>
    </row>
    <row r="34" spans="2:8">
      <c r="B34" s="6" t="s">
        <v>646</v>
      </c>
      <c r="C34" s="75" t="s">
        <v>230</v>
      </c>
      <c r="D34" s="414">
        <f>SUM(D27:D33)</f>
        <v>167652.257052</v>
      </c>
      <c r="E34" s="414">
        <f>SUM(E27:E33)</f>
        <v>14937.394645000002</v>
      </c>
      <c r="F34" s="414">
        <f>SUM(F27:F33)</f>
        <v>63088.58982816129</v>
      </c>
      <c r="G34" s="414">
        <f>SUM(G27:G33)</f>
        <v>70224.986833000003</v>
      </c>
      <c r="H34" s="414">
        <f>SUM(H27:H33)</f>
        <v>0</v>
      </c>
    </row>
    <row r="35" spans="2:8">
      <c r="B35" s="6" t="s">
        <v>647</v>
      </c>
      <c r="C35" s="75" t="s">
        <v>230</v>
      </c>
      <c r="D35" s="596">
        <v>167652.257052</v>
      </c>
      <c r="E35" s="596">
        <v>14937.394645</v>
      </c>
      <c r="F35" s="596">
        <v>63088.58982816129</v>
      </c>
      <c r="G35" s="596">
        <v>70224.986833000003</v>
      </c>
      <c r="H35" s="596">
        <v>0</v>
      </c>
    </row>
    <row r="36" spans="2:8">
      <c r="B36" s="146"/>
    </row>
    <row r="37" spans="2:8">
      <c r="B37" s="6" t="s">
        <v>648</v>
      </c>
    </row>
    <row r="38" spans="2:8">
      <c r="B38" t="s">
        <v>649</v>
      </c>
      <c r="C38" s="75" t="s">
        <v>230</v>
      </c>
      <c r="D38" s="204">
        <v>0</v>
      </c>
      <c r="E38" s="204">
        <v>0</v>
      </c>
      <c r="F38" s="204">
        <v>0</v>
      </c>
      <c r="G38" s="204">
        <v>0</v>
      </c>
      <c r="H38" s="204">
        <v>0</v>
      </c>
    </row>
    <row r="39" spans="2:8">
      <c r="B39" s="146" t="s">
        <v>527</v>
      </c>
      <c r="C39" s="75" t="s">
        <v>230</v>
      </c>
      <c r="D39" s="204">
        <v>142520.862624</v>
      </c>
      <c r="E39" s="204">
        <v>8051.2698663682568</v>
      </c>
      <c r="F39" s="204">
        <v>33404.340042988719</v>
      </c>
      <c r="G39" s="204">
        <v>0</v>
      </c>
      <c r="H39" s="204">
        <v>0</v>
      </c>
    </row>
    <row r="40" spans="2:8">
      <c r="B40" t="s">
        <v>650</v>
      </c>
      <c r="C40" s="75" t="s">
        <v>230</v>
      </c>
      <c r="D40" s="204">
        <v>201974.2629</v>
      </c>
      <c r="E40" s="204">
        <v>0</v>
      </c>
      <c r="F40" s="204">
        <v>82275.934600000008</v>
      </c>
      <c r="G40" s="204">
        <v>0</v>
      </c>
      <c r="H40" s="204">
        <v>0</v>
      </c>
    </row>
    <row r="41" spans="2:8">
      <c r="B41" s="146" t="s">
        <v>527</v>
      </c>
      <c r="C41" s="75" t="s">
        <v>230</v>
      </c>
      <c r="D41" s="204">
        <v>88751.022200000007</v>
      </c>
      <c r="E41" s="204">
        <v>0</v>
      </c>
      <c r="F41" s="204">
        <v>0</v>
      </c>
      <c r="G41" s="204">
        <v>0</v>
      </c>
      <c r="H41" s="204">
        <v>0</v>
      </c>
    </row>
    <row r="42" spans="2:8">
      <c r="B42" s="6" t="s">
        <v>651</v>
      </c>
      <c r="C42" s="75" t="s">
        <v>230</v>
      </c>
      <c r="D42" s="597">
        <f t="shared" ref="D42:H42" si="3">SUM(D38:D41)</f>
        <v>433246.14772400004</v>
      </c>
      <c r="E42" s="597">
        <f t="shared" si="3"/>
        <v>8051.2698663682568</v>
      </c>
      <c r="F42" s="597">
        <f t="shared" si="3"/>
        <v>115680.27464298872</v>
      </c>
      <c r="G42" s="597">
        <f t="shared" si="3"/>
        <v>0</v>
      </c>
      <c r="H42" s="597">
        <f t="shared" si="3"/>
        <v>0</v>
      </c>
    </row>
    <row r="43" spans="2:8">
      <c r="B43" s="6" t="s">
        <v>647</v>
      </c>
      <c r="C43" s="75" t="s">
        <v>230</v>
      </c>
      <c r="D43" s="596">
        <v>433246.14772400004</v>
      </c>
      <c r="E43" s="596">
        <v>8051.2698663682568</v>
      </c>
      <c r="F43" s="596">
        <v>115680.27464298872</v>
      </c>
      <c r="G43" s="596">
        <v>0</v>
      </c>
      <c r="H43" s="596">
        <v>0</v>
      </c>
    </row>
    <row r="45" spans="2:8">
      <c r="B45" s="6" t="s">
        <v>652</v>
      </c>
      <c r="C45" s="75" t="s">
        <v>230</v>
      </c>
      <c r="D45" s="597">
        <f t="shared" ref="D45:H45" si="4">SUM(D34,D42)</f>
        <v>600898.40477600007</v>
      </c>
      <c r="E45" s="597">
        <f t="shared" si="4"/>
        <v>22988.664511368261</v>
      </c>
      <c r="F45" s="597">
        <f t="shared" si="4"/>
        <v>178768.86447115001</v>
      </c>
      <c r="G45" s="597">
        <f t="shared" si="4"/>
        <v>70224.986833000003</v>
      </c>
      <c r="H45" s="597">
        <f t="shared" si="4"/>
        <v>0</v>
      </c>
    </row>
    <row r="46" spans="2:8">
      <c r="B46" s="6" t="s">
        <v>653</v>
      </c>
      <c r="C46" s="75" t="s">
        <v>230</v>
      </c>
      <c r="D46" s="597">
        <f>D35+D43</f>
        <v>600898.40477600007</v>
      </c>
      <c r="E46" s="597">
        <f t="shared" ref="E46:H46" si="5">E35+E43</f>
        <v>22988.664511368257</v>
      </c>
      <c r="F46" s="597">
        <f t="shared" si="5"/>
        <v>178768.86447115001</v>
      </c>
      <c r="G46" s="597">
        <f t="shared" si="5"/>
        <v>70224.986833000003</v>
      </c>
      <c r="H46" s="597">
        <f t="shared" si="5"/>
        <v>0</v>
      </c>
    </row>
    <row r="48" spans="2:8">
      <c r="B48" s="6" t="s">
        <v>654</v>
      </c>
    </row>
    <row r="49" spans="2:14">
      <c r="B49" t="s">
        <v>655</v>
      </c>
      <c r="C49" s="75" t="s">
        <v>656</v>
      </c>
      <c r="D49" s="204">
        <v>0</v>
      </c>
      <c r="E49" s="204">
        <v>0</v>
      </c>
      <c r="F49" s="204">
        <v>0</v>
      </c>
      <c r="G49" s="204">
        <v>0</v>
      </c>
      <c r="H49" s="204">
        <v>0</v>
      </c>
    </row>
    <row r="50" spans="2:14">
      <c r="B50" s="146" t="s">
        <v>527</v>
      </c>
      <c r="C50" s="75"/>
      <c r="D50" s="204">
        <v>0</v>
      </c>
      <c r="E50" s="204">
        <v>0</v>
      </c>
      <c r="F50" s="204">
        <v>0</v>
      </c>
      <c r="G50" s="204">
        <v>0</v>
      </c>
      <c r="H50" s="204">
        <v>0</v>
      </c>
    </row>
    <row r="51" spans="2:14">
      <c r="B51" t="s">
        <v>657</v>
      </c>
      <c r="C51" s="75" t="s">
        <v>194</v>
      </c>
      <c r="D51" s="204">
        <v>0</v>
      </c>
      <c r="E51" s="204">
        <v>0</v>
      </c>
      <c r="F51" s="204">
        <v>0</v>
      </c>
      <c r="G51" s="204">
        <v>0</v>
      </c>
      <c r="H51" s="204">
        <v>0</v>
      </c>
    </row>
    <row r="52" spans="2:14">
      <c r="B52" s="523" t="s">
        <v>658</v>
      </c>
      <c r="C52" s="75" t="s">
        <v>194</v>
      </c>
      <c r="D52" s="204">
        <v>0</v>
      </c>
      <c r="E52" s="204">
        <v>0</v>
      </c>
      <c r="F52" s="204">
        <v>0</v>
      </c>
      <c r="G52" s="204">
        <v>0</v>
      </c>
      <c r="H52" s="204">
        <v>0</v>
      </c>
    </row>
    <row r="53" spans="2:14">
      <c r="B53" s="6" t="s">
        <v>659</v>
      </c>
      <c r="C53" s="75" t="s">
        <v>230</v>
      </c>
      <c r="D53" s="204">
        <v>0</v>
      </c>
      <c r="E53" s="204">
        <v>0</v>
      </c>
      <c r="F53" s="204">
        <v>0</v>
      </c>
      <c r="G53" s="204">
        <v>0</v>
      </c>
      <c r="H53" s="204">
        <v>0</v>
      </c>
    </row>
    <row r="54" spans="2:14">
      <c r="B54" s="523" t="s">
        <v>660</v>
      </c>
      <c r="C54" s="75" t="s">
        <v>661</v>
      </c>
      <c r="D54" s="204">
        <v>0</v>
      </c>
      <c r="E54" s="204">
        <v>0</v>
      </c>
      <c r="F54" s="204">
        <v>0</v>
      </c>
      <c r="G54" s="204">
        <v>0</v>
      </c>
      <c r="H54" s="204">
        <v>0</v>
      </c>
    </row>
    <row r="55" spans="2:14">
      <c r="B55" s="523" t="s">
        <v>662</v>
      </c>
      <c r="C55" s="75" t="s">
        <v>663</v>
      </c>
      <c r="D55" s="204">
        <v>0</v>
      </c>
      <c r="E55" s="204">
        <v>0</v>
      </c>
      <c r="F55" s="204">
        <v>0</v>
      </c>
      <c r="G55" s="204">
        <v>0</v>
      </c>
      <c r="H55" s="204">
        <v>0</v>
      </c>
    </row>
    <row r="56" spans="2:14">
      <c r="B56" s="523" t="s">
        <v>664</v>
      </c>
      <c r="C56" s="75" t="s">
        <v>661</v>
      </c>
      <c r="D56" s="204">
        <v>0</v>
      </c>
      <c r="E56" s="204">
        <v>0</v>
      </c>
      <c r="F56" s="204">
        <v>0</v>
      </c>
      <c r="G56" s="204">
        <v>0</v>
      </c>
      <c r="H56" s="204">
        <v>0</v>
      </c>
    </row>
    <row r="57" spans="2:14">
      <c r="B57" s="6" t="s">
        <v>665</v>
      </c>
      <c r="C57" s="75" t="s">
        <v>230</v>
      </c>
      <c r="D57" s="221">
        <f>D55*D56</f>
        <v>0</v>
      </c>
      <c r="E57" s="221">
        <f t="shared" ref="E57:H57" si="6">E55*E56</f>
        <v>0</v>
      </c>
      <c r="F57" s="221">
        <f t="shared" si="6"/>
        <v>0</v>
      </c>
      <c r="G57" s="221">
        <f t="shared" si="6"/>
        <v>0</v>
      </c>
      <c r="H57" s="221">
        <f t="shared" si="6"/>
        <v>0</v>
      </c>
    </row>
    <row r="58" spans="2:14">
      <c r="C58" s="75"/>
    </row>
    <row r="59" spans="2:14">
      <c r="B59" s="6" t="s">
        <v>666</v>
      </c>
      <c r="C59" s="75" t="s">
        <v>230</v>
      </c>
      <c r="D59" s="204">
        <v>0</v>
      </c>
      <c r="E59" s="204">
        <v>0</v>
      </c>
      <c r="F59" s="204">
        <v>0</v>
      </c>
      <c r="G59" s="204">
        <v>0</v>
      </c>
      <c r="H59" s="204">
        <v>0</v>
      </c>
    </row>
    <row r="60" spans="2:14">
      <c r="B60" s="6"/>
      <c r="C60" s="6"/>
      <c r="D60" s="6"/>
      <c r="E60" s="6"/>
      <c r="F60" s="6"/>
      <c r="G60" s="6"/>
      <c r="H60" s="6"/>
      <c r="I60" s="6"/>
      <c r="J60" s="6"/>
      <c r="K60" s="6"/>
      <c r="L60" s="6"/>
      <c r="M60" s="6"/>
      <c r="N60" s="6"/>
    </row>
    <row r="61" spans="2:14">
      <c r="B61" s="6" t="s">
        <v>667</v>
      </c>
      <c r="C61" s="75"/>
      <c r="D61" s="221">
        <f>D53+D57+D59</f>
        <v>0</v>
      </c>
      <c r="E61" s="221">
        <f>E53+E57+E59</f>
        <v>0</v>
      </c>
      <c r="F61" s="221">
        <f>F53+F57+F59</f>
        <v>0</v>
      </c>
      <c r="G61" s="221">
        <f>G53+G57+G59</f>
        <v>0</v>
      </c>
      <c r="H61" s="221">
        <f>H53+H57+H59</f>
        <v>0</v>
      </c>
    </row>
    <row r="62" spans="2:14">
      <c r="B62" s="6" t="s">
        <v>647</v>
      </c>
      <c r="C62" s="75" t="s">
        <v>230</v>
      </c>
      <c r="D62" s="204">
        <v>0</v>
      </c>
      <c r="E62" s="204">
        <v>0</v>
      </c>
      <c r="F62" s="204">
        <v>0</v>
      </c>
      <c r="G62" s="204">
        <v>0</v>
      </c>
      <c r="H62" s="204">
        <v>0</v>
      </c>
    </row>
    <row r="63" spans="2:14">
      <c r="B63" s="6"/>
      <c r="C63" s="75"/>
      <c r="D63" s="6"/>
      <c r="E63" s="6"/>
      <c r="F63" s="6"/>
      <c r="G63" s="6"/>
      <c r="H63" s="6"/>
      <c r="J63" s="6"/>
      <c r="K63" s="6"/>
    </row>
    <row r="64" spans="2:14">
      <c r="B64" s="6" t="s">
        <v>668</v>
      </c>
      <c r="C64" s="75" t="s">
        <v>230</v>
      </c>
      <c r="D64" s="221">
        <f>D45+D61</f>
        <v>600898.40477600007</v>
      </c>
      <c r="E64" s="221">
        <f t="shared" ref="E64:H64" si="7">E45+E61</f>
        <v>22988.664511368261</v>
      </c>
      <c r="F64" s="221">
        <f t="shared" si="7"/>
        <v>178768.86447115001</v>
      </c>
      <c r="G64" s="221">
        <f t="shared" si="7"/>
        <v>70224.986833000003</v>
      </c>
      <c r="H64" s="221">
        <f t="shared" si="7"/>
        <v>0</v>
      </c>
    </row>
    <row r="65" spans="1:12">
      <c r="B65" s="6" t="s">
        <v>669</v>
      </c>
      <c r="C65" s="75" t="s">
        <v>230</v>
      </c>
      <c r="D65" s="221">
        <f>D46+D62</f>
        <v>600898.40477600007</v>
      </c>
      <c r="E65" s="221">
        <f t="shared" ref="E65:H65" si="8">E46+E62</f>
        <v>22988.664511368257</v>
      </c>
      <c r="F65" s="221">
        <f t="shared" si="8"/>
        <v>178768.86447115001</v>
      </c>
      <c r="G65" s="221">
        <f t="shared" si="8"/>
        <v>70224.986833000003</v>
      </c>
      <c r="H65" s="221">
        <f t="shared" si="8"/>
        <v>0</v>
      </c>
      <c r="J65" s="6"/>
    </row>
    <row r="66" spans="1:12">
      <c r="B66" s="6"/>
      <c r="C66" s="75"/>
      <c r="D66" s="416"/>
      <c r="E66" s="416"/>
      <c r="F66" s="416"/>
      <c r="G66" s="416"/>
      <c r="H66" s="416"/>
      <c r="J66" s="6"/>
    </row>
    <row r="67" spans="1:12">
      <c r="B67" s="6" t="s">
        <v>670</v>
      </c>
      <c r="C67" s="75"/>
      <c r="D67" s="416"/>
      <c r="E67" s="416"/>
      <c r="F67" s="416"/>
      <c r="G67" s="416"/>
      <c r="H67" s="416"/>
      <c r="J67" s="6"/>
    </row>
    <row r="68" spans="1:12">
      <c r="B68" t="s">
        <v>671</v>
      </c>
      <c r="C68" s="75"/>
      <c r="D68" s="596">
        <v>0</v>
      </c>
      <c r="E68" s="416"/>
      <c r="F68" s="416"/>
      <c r="G68" s="416"/>
      <c r="H68" s="416"/>
      <c r="J68" s="6"/>
    </row>
    <row r="69" spans="1:12">
      <c r="B69" t="s">
        <v>672</v>
      </c>
      <c r="C69" s="75"/>
      <c r="D69" s="596">
        <v>0</v>
      </c>
      <c r="E69" s="416"/>
      <c r="F69" s="416"/>
      <c r="G69" s="416"/>
      <c r="H69" s="416"/>
      <c r="J69" s="6"/>
    </row>
    <row r="70" spans="1:12">
      <c r="B70" t="s">
        <v>673</v>
      </c>
      <c r="C70" s="75"/>
      <c r="D70" s="596">
        <v>0</v>
      </c>
      <c r="E70" s="416"/>
      <c r="F70" s="416"/>
      <c r="G70" s="416"/>
      <c r="H70" s="416"/>
      <c r="J70" s="6"/>
    </row>
    <row r="71" spans="1:12">
      <c r="B71" s="6"/>
      <c r="C71" s="75"/>
      <c r="D71" s="416"/>
      <c r="E71" s="416"/>
      <c r="F71" s="416"/>
      <c r="G71" s="416"/>
      <c r="H71" s="416"/>
      <c r="J71" s="6"/>
    </row>
    <row r="72" spans="1:12">
      <c r="A72" s="351" t="s">
        <v>674</v>
      </c>
      <c r="B72" s="6"/>
      <c r="C72" s="75"/>
      <c r="D72" s="75"/>
      <c r="E72" s="75"/>
      <c r="F72" s="75"/>
      <c r="G72" s="75"/>
      <c r="H72" s="75"/>
      <c r="I72" s="75"/>
      <c r="J72" s="75"/>
      <c r="K72" s="75"/>
      <c r="L72" s="75"/>
    </row>
    <row r="73" spans="1:12">
      <c r="A73" s="351" t="s">
        <v>675</v>
      </c>
      <c r="B73" s="6"/>
      <c r="C73" s="6"/>
      <c r="D73" s="6"/>
      <c r="E73" s="6"/>
      <c r="F73" s="6"/>
      <c r="G73" s="6"/>
      <c r="H73" s="6"/>
      <c r="I73" s="6"/>
      <c r="J73" s="6"/>
    </row>
    <row r="74" spans="1:12">
      <c r="A74" s="351"/>
      <c r="B74" s="6"/>
      <c r="C74" s="6"/>
      <c r="D74" s="6"/>
      <c r="E74" s="6"/>
      <c r="F74" s="6"/>
      <c r="G74" s="6"/>
      <c r="H74" s="6"/>
      <c r="I74" s="6"/>
      <c r="J74" s="6"/>
    </row>
    <row r="75" spans="1:12">
      <c r="B75" s="6" t="s">
        <v>676</v>
      </c>
    </row>
    <row r="76" spans="1:12">
      <c r="B76" s="6"/>
    </row>
    <row r="77" spans="1:12" ht="24.75">
      <c r="B77" s="797" t="s">
        <v>677</v>
      </c>
      <c r="C77" s="798"/>
      <c r="D77" s="798"/>
      <c r="E77" s="798"/>
      <c r="F77" s="798"/>
      <c r="G77" s="774"/>
      <c r="H77" s="799"/>
    </row>
    <row r="78" spans="1:12">
      <c r="B78" s="632"/>
      <c r="C78" s="633"/>
      <c r="D78" s="364"/>
      <c r="E78" s="337"/>
      <c r="F78" s="337"/>
      <c r="G78" s="337"/>
      <c r="H78" s="365"/>
    </row>
    <row r="79" spans="1:12">
      <c r="B79" s="632"/>
      <c r="C79" s="633"/>
      <c r="D79" s="364"/>
      <c r="E79" s="337"/>
      <c r="F79" s="337"/>
      <c r="G79" s="337"/>
      <c r="H79" s="365"/>
    </row>
    <row r="80" spans="1:12">
      <c r="B80" s="632"/>
      <c r="C80" s="633"/>
      <c r="D80" s="364"/>
      <c r="E80" s="337"/>
      <c r="F80" s="337"/>
      <c r="G80" s="337"/>
      <c r="H80" s="365"/>
    </row>
    <row r="81" spans="2:8">
      <c r="B81" s="632"/>
      <c r="C81" s="633"/>
      <c r="D81" s="364"/>
      <c r="E81" s="337"/>
      <c r="F81" s="337"/>
      <c r="G81" s="337"/>
      <c r="H81" s="365"/>
    </row>
    <row r="82" spans="2:8">
      <c r="B82" s="634"/>
      <c r="C82" s="635"/>
      <c r="D82" s="583"/>
      <c r="E82" s="584"/>
      <c r="F82" s="584"/>
      <c r="G82" s="584"/>
      <c r="H82" s="367"/>
    </row>
  </sheetData>
  <mergeCells count="1">
    <mergeCell ref="D23:H23"/>
  </mergeCells>
  <phoneticPr fontId="251" type="noConversion"/>
  <conditionalFormatting sqref="D5:G6">
    <cfRule type="expression" dxfId="33" priority="47">
      <formula>AND(D$5="Actuals",E$5="N/A")</formula>
    </cfRule>
  </conditionalFormatting>
  <conditionalFormatting sqref="D5:H6 D34:H34 D57:H57 D64:H67 D71:H71 E68:H70">
    <cfRule type="expression" dxfId="32" priority="39">
      <formula>D$5="N/A"</formula>
    </cfRule>
  </conditionalFormatting>
  <conditionalFormatting sqref="D20:H20">
    <cfRule type="expression" priority="33">
      <formula>D$5="N/A"</formula>
    </cfRule>
  </conditionalFormatting>
  <conditionalFormatting sqref="H5:H6">
    <cfRule type="expression" dxfId="31" priority="286">
      <formula>AND(H$5="Actuals",#REF!="N/A")</formula>
    </cfRule>
  </conditionalFormatting>
  <conditionalFormatting sqref="D61:H61">
    <cfRule type="expression" dxfId="30" priority="25">
      <formula>D$5="N/A"</formula>
    </cfRule>
  </conditionalFormatting>
  <conditionalFormatting sqref="D7:H7">
    <cfRule type="expression" dxfId="29" priority="22">
      <formula>AND(D$5="Actuals",E$5="Forecast")</formula>
    </cfRule>
  </conditionalFormatting>
  <conditionalFormatting sqref="E11:H11">
    <cfRule type="expression" dxfId="28" priority="17">
      <formula>E$5="Forecast"</formula>
    </cfRule>
  </conditionalFormatting>
  <conditionalFormatting sqref="E13:H14">
    <cfRule type="expression" dxfId="27" priority="16">
      <formula>E$5="Forecast"</formula>
    </cfRule>
  </conditionalFormatting>
  <conditionalFormatting sqref="E15:H15">
    <cfRule type="expression" dxfId="26" priority="15">
      <formula>E$5="Forecast"</formula>
    </cfRule>
  </conditionalFormatting>
  <conditionalFormatting sqref="E18:H18">
    <cfRule type="expression" dxfId="25" priority="14">
      <formula>E$5="Forecast"</formula>
    </cfRule>
  </conditionalFormatting>
  <conditionalFormatting sqref="D16:H16">
    <cfRule type="expression" dxfId="24" priority="13">
      <formula>D$5="Forecast"</formula>
    </cfRule>
  </conditionalFormatting>
  <conditionalFormatting sqref="D11">
    <cfRule type="expression" dxfId="23" priority="12">
      <formula>D$5="Forecast"</formula>
    </cfRule>
  </conditionalFormatting>
  <conditionalFormatting sqref="D13:D15">
    <cfRule type="expression" dxfId="22" priority="11">
      <formula>D$5="Forecast"</formula>
    </cfRule>
  </conditionalFormatting>
  <conditionalFormatting sqref="D18">
    <cfRule type="expression" dxfId="21" priority="10">
      <formula>D$5="Forecast"</formula>
    </cfRule>
  </conditionalFormatting>
  <conditionalFormatting sqref="D27:H33">
    <cfRule type="expression" dxfId="20" priority="9">
      <formula>D$5="N/A"</formula>
    </cfRule>
  </conditionalFormatting>
  <conditionalFormatting sqref="D35:H35">
    <cfRule type="expression" dxfId="19" priority="8">
      <formula>D$5="N/A"</formula>
    </cfRule>
  </conditionalFormatting>
  <conditionalFormatting sqref="D38:H41">
    <cfRule type="expression" dxfId="18" priority="7">
      <formula>D$5="N/A"</formula>
    </cfRule>
  </conditionalFormatting>
  <conditionalFormatting sqref="D43:H43">
    <cfRule type="expression" dxfId="17" priority="6">
      <formula>D$5="N/A"</formula>
    </cfRule>
  </conditionalFormatting>
  <conditionalFormatting sqref="D49:H56">
    <cfRule type="expression" dxfId="16" priority="5">
      <formula>D$5="N/A"</formula>
    </cfRule>
  </conditionalFormatting>
  <conditionalFormatting sqref="D62:H62">
    <cfRule type="expression" dxfId="15" priority="3">
      <formula>D$5="N/A"</formula>
    </cfRule>
  </conditionalFormatting>
  <conditionalFormatting sqref="D68:D70">
    <cfRule type="expression" dxfId="14" priority="2">
      <formula>D$5="N/A"</formula>
    </cfRule>
  </conditionalFormatting>
  <conditionalFormatting sqref="D59:H59">
    <cfRule type="expression" dxfId="13" priority="1">
      <formula>D$5="N/A"</formula>
    </cfRule>
  </conditionalFormatting>
  <pageMargins left="0.70866141732283472" right="0.70866141732283472" top="0.74803149606299213" bottom="0.74803149606299213" header="0.31496062992125984" footer="0.31496062992125984"/>
  <pageSetup paperSize="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FFFFCC"/>
    <pageSetUpPr fitToPage="1"/>
  </sheetPr>
  <dimension ref="A1:J67"/>
  <sheetViews>
    <sheetView showGridLines="0" zoomScale="80" zoomScaleNormal="70" workbookViewId="0">
      <pane ySplit="6" topLeftCell="A20" activePane="bottomLeft" state="frozen"/>
      <selection activeCell="D15" sqref="D15"/>
      <selection pane="bottomLeft" activeCell="D34" sqref="D34"/>
    </sheetView>
  </sheetViews>
  <sheetFormatPr defaultRowHeight="12.4"/>
  <cols>
    <col min="1" max="1" width="8.3515625" customWidth="1"/>
    <col min="2" max="2" width="82" customWidth="1"/>
    <col min="3" max="3" width="14.1171875" customWidth="1"/>
    <col min="4" max="8" width="11.1171875" customWidth="1"/>
    <col min="9" max="9" width="6.64453125" bestFit="1" customWidth="1"/>
  </cols>
  <sheetData>
    <row r="1" spans="1:10" ht="20.65">
      <c r="A1" s="777" t="s">
        <v>678</v>
      </c>
      <c r="B1" s="397"/>
      <c r="C1" s="398"/>
      <c r="D1" s="398"/>
      <c r="E1" s="398"/>
      <c r="F1" s="398"/>
      <c r="G1" s="398"/>
      <c r="H1" s="398"/>
      <c r="I1" s="786"/>
    </row>
    <row r="2" spans="1:10" ht="20.65">
      <c r="A2" s="295" t="str">
        <f>Licensee</f>
        <v>Cadent-NW</v>
      </c>
      <c r="B2" s="290"/>
      <c r="C2" s="16"/>
      <c r="D2" s="16"/>
      <c r="E2" s="16"/>
      <c r="F2" s="16"/>
      <c r="G2" s="16"/>
      <c r="H2" s="16"/>
      <c r="I2" s="65"/>
    </row>
    <row r="3" spans="1:10" ht="20.65">
      <c r="A3" s="290">
        <f>Reporting_Year</f>
        <v>2022</v>
      </c>
      <c r="B3" s="590"/>
      <c r="C3" s="577"/>
      <c r="D3" s="577"/>
      <c r="E3" s="577"/>
      <c r="F3" s="577"/>
      <c r="G3" s="577"/>
      <c r="H3" s="577"/>
      <c r="I3" s="119"/>
    </row>
    <row r="4" spans="1:10" s="2" customFormat="1" ht="12.75" customHeight="1">
      <c r="B4" s="3"/>
      <c r="C4"/>
      <c r="D4" s="123"/>
      <c r="E4" s="123"/>
    </row>
    <row r="5" spans="1:10" s="2" customFormat="1" ht="12.75" customHeight="1">
      <c r="B5" s="3"/>
      <c r="C5"/>
      <c r="D5" s="598" t="str">
        <f t="shared" ref="D5:H5" si="0">IF(D6&lt;=Reporting_Year,"Actuals","Forecast")</f>
        <v>Actuals</v>
      </c>
      <c r="E5" s="598" t="str">
        <f t="shared" si="0"/>
        <v>Forecast</v>
      </c>
      <c r="F5" s="598" t="str">
        <f t="shared" si="0"/>
        <v>Forecast</v>
      </c>
      <c r="G5" s="598" t="str">
        <f t="shared" si="0"/>
        <v>Forecast</v>
      </c>
      <c r="H5" s="598" t="str">
        <f t="shared" si="0"/>
        <v>Forecast</v>
      </c>
      <c r="I5" s="1"/>
    </row>
    <row r="6" spans="1:10" s="2" customFormat="1">
      <c r="C6"/>
      <c r="D6" s="422">
        <f>'RFPR cover'!$C$6</f>
        <v>2022</v>
      </c>
      <c r="E6" s="422">
        <f>D6+1</f>
        <v>2023</v>
      </c>
      <c r="F6" s="422">
        <f t="shared" ref="F6:H6" si="1">E6+1</f>
        <v>2024</v>
      </c>
      <c r="G6" s="422">
        <f t="shared" si="1"/>
        <v>2025</v>
      </c>
      <c r="H6" s="422">
        <f t="shared" si="1"/>
        <v>2026</v>
      </c>
      <c r="I6" s="1"/>
    </row>
    <row r="7" spans="1:10" s="2" customFormat="1">
      <c r="D7" s="62" t="str">
        <f>RIIO_2_start_date-1&amp;"/"&amp;RIGHT(RIIO_2_start_date,2)</f>
        <v>2021/22</v>
      </c>
      <c r="E7" s="62" t="str">
        <f>RIIO_2_start_date&amp;"/"&amp;RIGHT(RIIO_2_start_date+1,2)</f>
        <v>2022/23</v>
      </c>
      <c r="F7" s="62" t="str">
        <f>RIIO_2_start_date+1&amp;"/"&amp;RIGHT(RIIO_2_start_date+2,2)</f>
        <v>2023/24</v>
      </c>
      <c r="G7" s="62" t="str">
        <f>RIIO_2_start_date+2&amp;"/"&amp;RIGHT(RIIO_2_start_date+3,2)</f>
        <v>2024/25</v>
      </c>
      <c r="H7" s="422" t="str">
        <f>RIIO_2_start_date+3&amp;"/"&amp;RIGHT(RIIO_2_start_date+4,2)</f>
        <v>2025/26</v>
      </c>
      <c r="I7" s="1"/>
    </row>
    <row r="8" spans="1:10" s="2" customFormat="1">
      <c r="I8" s="1"/>
    </row>
    <row r="9" spans="1:10" s="2" customFormat="1">
      <c r="B9" s="61" t="s">
        <v>679</v>
      </c>
      <c r="C9" s="73"/>
      <c r="D9" s="40"/>
      <c r="E9" s="40"/>
      <c r="F9" s="40"/>
      <c r="G9" s="40"/>
      <c r="H9" s="40"/>
      <c r="I9" s="1"/>
    </row>
    <row r="10" spans="1:10" s="2" customFormat="1">
      <c r="B10" s="5"/>
      <c r="C10" s="69"/>
      <c r="I10" s="1"/>
    </row>
    <row r="11" spans="1:10" s="2" customFormat="1">
      <c r="B11" s="5"/>
      <c r="C11" s="69"/>
      <c r="I11" s="1"/>
    </row>
    <row r="12" spans="1:10">
      <c r="B12" s="6" t="s">
        <v>680</v>
      </c>
      <c r="C12" s="75" t="s">
        <v>230</v>
      </c>
      <c r="D12" s="599">
        <v>5.672798278250303</v>
      </c>
      <c r="E12" s="599"/>
      <c r="F12" s="599"/>
      <c r="G12" s="599"/>
      <c r="H12" s="599"/>
      <c r="I12" s="1"/>
      <c r="J12" s="2"/>
    </row>
    <row r="13" spans="1:10">
      <c r="B13" s="8" t="s">
        <v>681</v>
      </c>
      <c r="D13" s="238"/>
      <c r="E13" s="238"/>
      <c r="F13" s="238"/>
      <c r="G13" s="238"/>
      <c r="H13" s="238"/>
      <c r="J13" s="2"/>
    </row>
    <row r="14" spans="1:10">
      <c r="B14" t="s">
        <v>682</v>
      </c>
      <c r="C14" s="75" t="s">
        <v>230</v>
      </c>
      <c r="D14" s="599">
        <v>7.8821960522478731</v>
      </c>
      <c r="E14" s="599"/>
      <c r="F14" s="599"/>
      <c r="G14" s="599"/>
      <c r="H14" s="599"/>
      <c r="I14" s="1"/>
      <c r="J14" s="2"/>
    </row>
    <row r="15" spans="1:10">
      <c r="B15" t="s">
        <v>683</v>
      </c>
      <c r="C15" s="75" t="s">
        <v>230</v>
      </c>
      <c r="D15" s="599">
        <v>-2.2093977739975701</v>
      </c>
      <c r="E15" s="599"/>
      <c r="F15" s="599"/>
      <c r="G15" s="599"/>
      <c r="H15" s="599"/>
      <c r="I15" s="1"/>
      <c r="J15" s="2"/>
    </row>
    <row r="16" spans="1:10">
      <c r="D16" s="238"/>
      <c r="E16" s="238"/>
      <c r="F16" s="238"/>
      <c r="G16" s="238"/>
      <c r="H16" s="238"/>
      <c r="I16" s="1"/>
      <c r="J16" s="2"/>
    </row>
    <row r="17" spans="2:10">
      <c r="D17" s="238"/>
      <c r="E17" s="238"/>
      <c r="F17" s="238"/>
      <c r="G17" s="238"/>
      <c r="H17" s="238"/>
      <c r="I17" s="1"/>
      <c r="J17" s="2"/>
    </row>
    <row r="18" spans="2:10">
      <c r="B18" t="s">
        <v>682</v>
      </c>
      <c r="C18" s="94" t="str">
        <f>Data!$C$9</f>
        <v>£m 18/19</v>
      </c>
      <c r="D18" s="585">
        <f t="shared" ref="D18:H18" si="2">D$14/INDEX(real_to_nominal_CF,MATCH(D6,calendar_year,0))</f>
        <v>7.2661465007567054</v>
      </c>
      <c r="E18" s="585">
        <f t="shared" si="2"/>
        <v>0</v>
      </c>
      <c r="F18" s="585">
        <f t="shared" si="2"/>
        <v>0</v>
      </c>
      <c r="G18" s="585">
        <f t="shared" si="2"/>
        <v>0</v>
      </c>
      <c r="H18" s="585">
        <f t="shared" si="2"/>
        <v>0</v>
      </c>
      <c r="I18" s="1"/>
      <c r="J18" s="2"/>
    </row>
    <row r="19" spans="2:10">
      <c r="D19" s="238"/>
      <c r="E19" s="238"/>
      <c r="F19" s="238"/>
      <c r="G19" s="238"/>
      <c r="H19" s="238"/>
      <c r="I19" s="1"/>
      <c r="J19" s="2"/>
    </row>
    <row r="20" spans="2:10">
      <c r="D20" s="238"/>
      <c r="E20" s="238"/>
      <c r="F20" s="238"/>
      <c r="G20" s="238"/>
      <c r="H20" s="238"/>
      <c r="I20" s="1"/>
      <c r="J20" s="2"/>
    </row>
    <row r="21" spans="2:10" s="2" customFormat="1">
      <c r="B21" s="6" t="s">
        <v>684</v>
      </c>
      <c r="C21" s="94" t="str">
        <f>Data!$C$9</f>
        <v>£m 18/19</v>
      </c>
      <c r="D21" s="600">
        <v>6.6</v>
      </c>
      <c r="E21" s="600">
        <v>3.1</v>
      </c>
      <c r="F21" s="600">
        <v>0</v>
      </c>
      <c r="G21" s="600">
        <v>0</v>
      </c>
      <c r="H21" s="600">
        <v>0</v>
      </c>
      <c r="I21" s="1"/>
    </row>
    <row r="22" spans="2:10" s="2" customFormat="1">
      <c r="B22" t="s">
        <v>685</v>
      </c>
      <c r="C22" s="94" t="str">
        <f>Data!$C$9</f>
        <v>£m 18/19</v>
      </c>
      <c r="D22" s="599">
        <v>0.5</v>
      </c>
      <c r="E22" s="593">
        <v>0.5</v>
      </c>
      <c r="F22" s="593">
        <v>0</v>
      </c>
      <c r="G22" s="593">
        <v>0</v>
      </c>
      <c r="H22" s="593">
        <v>0</v>
      </c>
      <c r="I22" s="1"/>
    </row>
    <row r="23" spans="2:10" s="2" customFormat="1">
      <c r="B23" s="6" t="s">
        <v>686</v>
      </c>
      <c r="C23" s="94" t="str">
        <f>Data!$C$9</f>
        <v>£m 18/19</v>
      </c>
      <c r="D23" s="585">
        <f>D21-D22</f>
        <v>6.1</v>
      </c>
      <c r="E23" s="585">
        <f t="shared" ref="E23:H23" si="3">E21-E22</f>
        <v>2.6</v>
      </c>
      <c r="F23" s="585">
        <f t="shared" si="3"/>
        <v>0</v>
      </c>
      <c r="G23" s="585">
        <f t="shared" si="3"/>
        <v>0</v>
      </c>
      <c r="H23" s="585">
        <f t="shared" si="3"/>
        <v>0</v>
      </c>
      <c r="I23" s="1"/>
    </row>
    <row r="24" spans="2:10" s="2" customFormat="1">
      <c r="B24" s="6"/>
      <c r="C24" s="6"/>
      <c r="D24" s="6"/>
      <c r="E24" s="6"/>
      <c r="F24" s="6"/>
      <c r="G24" s="6"/>
      <c r="H24" s="6"/>
      <c r="I24" s="1"/>
    </row>
    <row r="25" spans="2:10" s="2" customFormat="1">
      <c r="B25" s="6"/>
      <c r="C25" s="6"/>
      <c r="D25" s="879" t="s">
        <v>687</v>
      </c>
      <c r="E25" s="6"/>
      <c r="F25" s="6"/>
      <c r="G25" s="6"/>
      <c r="H25" s="6"/>
      <c r="I25" s="1"/>
    </row>
    <row r="26" spans="2:10" s="2" customFormat="1" ht="12.75" customHeight="1">
      <c r="B26" s="6"/>
      <c r="C26" s="6"/>
      <c r="D26" s="880"/>
      <c r="E26" s="6"/>
      <c r="F26" s="6"/>
      <c r="G26" s="6"/>
      <c r="H26" s="6"/>
      <c r="I26" s="1"/>
    </row>
    <row r="27" spans="2:10">
      <c r="C27" s="6"/>
      <c r="D27" s="881"/>
      <c r="E27" s="6"/>
      <c r="I27" s="1"/>
    </row>
    <row r="28" spans="2:10">
      <c r="B28" s="6" t="s">
        <v>688</v>
      </c>
      <c r="C28" s="6"/>
      <c r="D28" s="601">
        <v>43555</v>
      </c>
      <c r="I28" s="1"/>
    </row>
    <row r="29" spans="2:10">
      <c r="B29" s="6"/>
      <c r="C29" s="6"/>
      <c r="D29" s="23"/>
      <c r="E29" s="24"/>
      <c r="F29" s="24"/>
      <c r="I29" s="1"/>
    </row>
    <row r="30" spans="2:10">
      <c r="B30" t="s">
        <v>548</v>
      </c>
      <c r="C30" s="6"/>
      <c r="D30" s="800">
        <v>43555</v>
      </c>
      <c r="E30" s="24"/>
      <c r="F30" s="24"/>
      <c r="I30" s="1"/>
    </row>
    <row r="31" spans="2:10">
      <c r="C31" s="6"/>
      <c r="D31" s="23"/>
      <c r="E31" s="24"/>
      <c r="F31" s="24"/>
      <c r="I31" s="1"/>
    </row>
    <row r="32" spans="2:10">
      <c r="B32" s="6"/>
      <c r="D32" s="143"/>
      <c r="E32" s="24"/>
      <c r="F32" s="24"/>
      <c r="I32" s="1"/>
    </row>
    <row r="33" spans="2:9">
      <c r="B33" t="s">
        <v>689</v>
      </c>
      <c r="C33" s="649" t="str">
        <f>"£m "&amp;$D$30</f>
        <v>£m 43555</v>
      </c>
      <c r="D33" s="593">
        <v>189.9403274103077</v>
      </c>
      <c r="I33" s="1"/>
    </row>
    <row r="34" spans="2:9">
      <c r="B34" t="s">
        <v>690</v>
      </c>
      <c r="C34" s="649" t="str">
        <f>"£m "&amp;$D$30</f>
        <v>£m 43555</v>
      </c>
      <c r="D34" s="593">
        <v>6559.7596725896919</v>
      </c>
      <c r="I34" s="1"/>
    </row>
    <row r="35" spans="2:9">
      <c r="C35" s="143"/>
      <c r="D35" s="238"/>
      <c r="I35" s="1"/>
    </row>
    <row r="36" spans="2:9">
      <c r="B36" t="s">
        <v>691</v>
      </c>
      <c r="C36" s="649" t="str">
        <f>"£m "&amp;$D$30</f>
        <v>£m 43555</v>
      </c>
      <c r="D36" s="593">
        <v>221.90000000000003</v>
      </c>
      <c r="I36" s="1"/>
    </row>
    <row r="37" spans="2:9">
      <c r="B37" t="s">
        <v>692</v>
      </c>
      <c r="C37" s="649" t="str">
        <f>"£m "&amp;$D$30</f>
        <v>£m 43555</v>
      </c>
      <c r="D37" s="593">
        <v>6445.5000000000009</v>
      </c>
      <c r="I37" s="1"/>
    </row>
    <row r="38" spans="2:9">
      <c r="C38" s="143"/>
      <c r="D38" s="238"/>
      <c r="I38" s="1"/>
    </row>
    <row r="39" spans="2:9">
      <c r="B39" s="25" t="s">
        <v>693</v>
      </c>
      <c r="C39" s="649" t="str">
        <f>"£m "&amp;$D$30</f>
        <v>£m 43555</v>
      </c>
      <c r="D39" s="585">
        <f>D33-D36</f>
        <v>-31.959672589692332</v>
      </c>
      <c r="I39" s="1"/>
    </row>
    <row r="40" spans="2:9">
      <c r="B40" s="25" t="s">
        <v>694</v>
      </c>
      <c r="C40" s="649" t="str">
        <f>"£m "&amp;$D$30</f>
        <v>£m 43555</v>
      </c>
      <c r="D40" s="585">
        <f>D34-D37</f>
        <v>114.25967258969104</v>
      </c>
      <c r="I40" s="1"/>
    </row>
    <row r="41" spans="2:9">
      <c r="C41" s="143"/>
      <c r="D41" s="238"/>
      <c r="I41" s="1"/>
    </row>
    <row r="42" spans="2:9">
      <c r="B42" t="s">
        <v>695</v>
      </c>
      <c r="C42" s="649" t="str">
        <f>"£m "&amp;$D$30</f>
        <v>£m 43555</v>
      </c>
      <c r="D42" s="593">
        <v>28.45065847483307</v>
      </c>
      <c r="I42" s="1"/>
    </row>
    <row r="43" spans="2:9">
      <c r="B43" t="s">
        <v>696</v>
      </c>
      <c r="C43" s="649" t="str">
        <f>"£m "&amp;$D$30</f>
        <v>£m 43555</v>
      </c>
      <c r="D43" s="593">
        <v>-7.9690741756208618</v>
      </c>
      <c r="I43" s="1"/>
    </row>
    <row r="44" spans="2:9">
      <c r="I44" s="1"/>
    </row>
    <row r="45" spans="2:9">
      <c r="I45" s="1"/>
    </row>
    <row r="46" spans="2:9">
      <c r="I46" s="1"/>
    </row>
    <row r="47" spans="2:9">
      <c r="B47" s="61" t="s">
        <v>697</v>
      </c>
      <c r="C47" s="73"/>
      <c r="D47" s="40"/>
      <c r="E47" s="40"/>
      <c r="F47" s="40"/>
      <c r="G47" s="40"/>
      <c r="H47" s="40"/>
      <c r="I47" s="1"/>
    </row>
    <row r="48" spans="2:9">
      <c r="I48" s="1"/>
    </row>
    <row r="49" spans="1:9">
      <c r="I49" s="1"/>
    </row>
    <row r="50" spans="1:9">
      <c r="I50" s="1"/>
    </row>
    <row r="51" spans="1:9">
      <c r="A51" s="2"/>
      <c r="B51" s="3"/>
      <c r="C51" s="3"/>
      <c r="D51" s="598" t="str">
        <f t="shared" ref="D51:H51" si="4">IF(D52&lt;=Reporting_Year,"Actuals","Forecast")</f>
        <v>Actuals</v>
      </c>
      <c r="E51" s="598" t="str">
        <f t="shared" si="4"/>
        <v>Forecast</v>
      </c>
      <c r="F51" s="598" t="str">
        <f t="shared" si="4"/>
        <v>Forecast</v>
      </c>
      <c r="G51" s="598" t="str">
        <f t="shared" si="4"/>
        <v>Forecast</v>
      </c>
      <c r="H51" s="598" t="str">
        <f t="shared" si="4"/>
        <v>Forecast</v>
      </c>
      <c r="I51" s="1"/>
    </row>
    <row r="52" spans="1:9">
      <c r="A52" s="2"/>
      <c r="B52" s="2"/>
      <c r="C52" s="6"/>
      <c r="D52" s="422">
        <f>'RFPR cover'!$C$6</f>
        <v>2022</v>
      </c>
      <c r="E52" s="422">
        <f t="shared" ref="E52:H52" si="5">D52+1</f>
        <v>2023</v>
      </c>
      <c r="F52" s="422">
        <f t="shared" si="5"/>
        <v>2024</v>
      </c>
      <c r="G52" s="422">
        <f t="shared" si="5"/>
        <v>2025</v>
      </c>
      <c r="H52" s="422">
        <f t="shared" si="5"/>
        <v>2026</v>
      </c>
      <c r="I52" s="1"/>
    </row>
    <row r="53" spans="1:9">
      <c r="D53" s="239"/>
      <c r="E53" s="239"/>
      <c r="F53" s="239"/>
      <c r="G53" s="239"/>
      <c r="H53" s="239"/>
      <c r="I53" s="1"/>
    </row>
    <row r="54" spans="1:9">
      <c r="B54" s="5" t="s">
        <v>698</v>
      </c>
      <c r="C54" s="94" t="str">
        <f>Data!$C$9</f>
        <v>£m 18/19</v>
      </c>
      <c r="D54" s="602">
        <f>(D$62+D$67)/INDEX(real_to_nominal_CF,MATCH('R10 - Pensions &amp; Oth Activities'!D52,calendar_year,0))</f>
        <v>0.56163558666096347</v>
      </c>
      <c r="E54" s="602">
        <f>(E$62+E$67)/INDEX(real_to_nominal_CF,MATCH('R10 - Pensions &amp; Oth Activities'!E52,calendar_year,0))</f>
        <v>0.48289486932399345</v>
      </c>
      <c r="F54" s="602">
        <f>(F$62+F$67)/INDEX(real_to_nominal_CF,MATCH('R10 - Pensions &amp; Oth Activities'!F52,calendar_year,0))</f>
        <v>0.46735506280763089</v>
      </c>
      <c r="G54" s="602">
        <f>(G$62+G$67)/INDEX(real_to_nominal_CF,MATCH('R10 - Pensions &amp; Oth Activities'!G52,calendar_year,0))</f>
        <v>0.45956810891975614</v>
      </c>
      <c r="H54" s="602">
        <f>(H$62+H$67)/INDEX(real_to_nominal_CF,MATCH('R10 - Pensions &amp; Oth Activities'!H52,calendar_year,0))</f>
        <v>0.45095275182556227</v>
      </c>
      <c r="I54" s="1"/>
    </row>
    <row r="55" spans="1:9">
      <c r="D55" s="239"/>
      <c r="E55" s="239"/>
      <c r="F55" s="239"/>
      <c r="G55" s="239"/>
      <c r="H55" s="239"/>
    </row>
    <row r="56" spans="1:9">
      <c r="B56" s="6" t="s">
        <v>699</v>
      </c>
      <c r="D56" s="239"/>
      <c r="E56" s="239"/>
      <c r="F56" s="239"/>
      <c r="G56" s="239"/>
      <c r="H56" s="239"/>
    </row>
    <row r="57" spans="1:9">
      <c r="B57" s="662" t="s">
        <v>700</v>
      </c>
      <c r="C57" s="75" t="s">
        <v>230</v>
      </c>
      <c r="D57" s="596">
        <v>0</v>
      </c>
      <c r="E57" s="596">
        <v>0</v>
      </c>
      <c r="F57" s="596">
        <v>0</v>
      </c>
      <c r="G57" s="596">
        <v>0</v>
      </c>
      <c r="H57" s="596">
        <v>0</v>
      </c>
    </row>
    <row r="58" spans="1:9">
      <c r="B58" s="662" t="s">
        <v>700</v>
      </c>
      <c r="C58" s="75" t="s">
        <v>230</v>
      </c>
      <c r="D58" s="596">
        <v>0</v>
      </c>
      <c r="E58" s="596">
        <v>0</v>
      </c>
      <c r="F58" s="596">
        <v>0</v>
      </c>
      <c r="G58" s="596">
        <v>0</v>
      </c>
      <c r="H58" s="596">
        <v>0</v>
      </c>
    </row>
    <row r="59" spans="1:9">
      <c r="B59" s="662" t="s">
        <v>527</v>
      </c>
      <c r="C59" s="75" t="s">
        <v>230</v>
      </c>
      <c r="D59" s="596">
        <v>0</v>
      </c>
      <c r="E59" s="596">
        <v>0</v>
      </c>
      <c r="F59" s="596">
        <v>0</v>
      </c>
      <c r="G59" s="596">
        <v>0</v>
      </c>
      <c r="H59" s="596">
        <v>0</v>
      </c>
    </row>
    <row r="60" spans="1:9">
      <c r="B60" s="6" t="s">
        <v>701</v>
      </c>
      <c r="C60" s="75" t="s">
        <v>230</v>
      </c>
      <c r="D60" s="602">
        <f t="shared" ref="D60:H60" si="6">SUM(D57:D59)</f>
        <v>0</v>
      </c>
      <c r="E60" s="602">
        <f t="shared" si="6"/>
        <v>0</v>
      </c>
      <c r="F60" s="602">
        <f t="shared" si="6"/>
        <v>0</v>
      </c>
      <c r="G60" s="602">
        <f t="shared" si="6"/>
        <v>0</v>
      </c>
      <c r="H60" s="602">
        <f t="shared" si="6"/>
        <v>0</v>
      </c>
    </row>
    <row r="61" spans="1:9">
      <c r="B61" s="2" t="s">
        <v>702</v>
      </c>
      <c r="C61" s="75" t="s">
        <v>230</v>
      </c>
      <c r="D61" s="596">
        <v>0</v>
      </c>
      <c r="E61" s="596">
        <v>0</v>
      </c>
      <c r="F61" s="596">
        <v>0</v>
      </c>
      <c r="G61" s="596">
        <v>0</v>
      </c>
      <c r="H61" s="596">
        <v>0</v>
      </c>
    </row>
    <row r="62" spans="1:9">
      <c r="B62" s="5" t="s">
        <v>703</v>
      </c>
      <c r="C62" s="75" t="s">
        <v>230</v>
      </c>
      <c r="D62" s="602">
        <f t="shared" ref="D62:H62" si="7">D60-D61</f>
        <v>0</v>
      </c>
      <c r="E62" s="602">
        <f t="shared" si="7"/>
        <v>0</v>
      </c>
      <c r="F62" s="602">
        <f t="shared" si="7"/>
        <v>0</v>
      </c>
      <c r="G62" s="602">
        <f t="shared" si="7"/>
        <v>0</v>
      </c>
      <c r="H62" s="602">
        <f t="shared" si="7"/>
        <v>0</v>
      </c>
    </row>
    <row r="64" spans="1:9">
      <c r="B64" s="6" t="s">
        <v>704</v>
      </c>
      <c r="D64" s="239"/>
      <c r="E64" s="239"/>
      <c r="F64" s="239"/>
      <c r="G64" s="239"/>
      <c r="H64" s="239"/>
    </row>
    <row r="65" spans="2:8">
      <c r="B65" s="662" t="s">
        <v>705</v>
      </c>
      <c r="C65" s="75" t="s">
        <v>230</v>
      </c>
      <c r="D65" s="596">
        <v>0.75216424000000004</v>
      </c>
      <c r="E65" s="596">
        <v>0.75216424000000004</v>
      </c>
      <c r="F65" s="596">
        <v>0.75216424000000004</v>
      </c>
      <c r="G65" s="596">
        <v>0.75216424000000004</v>
      </c>
      <c r="H65" s="596">
        <v>0.75216424000000004</v>
      </c>
    </row>
    <row r="66" spans="2:8">
      <c r="B66" s="2" t="s">
        <v>702</v>
      </c>
      <c r="C66" s="75" t="s">
        <v>230</v>
      </c>
      <c r="D66" s="596">
        <v>0.14291120560000001</v>
      </c>
      <c r="E66" s="596">
        <v>0.18804106000000001</v>
      </c>
      <c r="F66" s="596">
        <v>0.18804106000000001</v>
      </c>
      <c r="G66" s="596">
        <v>0.18804106000000001</v>
      </c>
      <c r="H66" s="596">
        <v>0.18804106000000001</v>
      </c>
    </row>
    <row r="67" spans="2:8">
      <c r="B67" s="5" t="s">
        <v>706</v>
      </c>
      <c r="C67" s="75" t="s">
        <v>230</v>
      </c>
      <c r="D67" s="602">
        <f t="shared" ref="D67:H67" si="8">D65-D66</f>
        <v>0.6092530344</v>
      </c>
      <c r="E67" s="602">
        <f t="shared" si="8"/>
        <v>0.56412318000000006</v>
      </c>
      <c r="F67" s="602">
        <f t="shared" si="8"/>
        <v>0.56412318000000006</v>
      </c>
      <c r="G67" s="602">
        <f t="shared" si="8"/>
        <v>0.56412318000000006</v>
      </c>
      <c r="H67" s="602">
        <f t="shared" si="8"/>
        <v>0.56412318000000006</v>
      </c>
    </row>
  </sheetData>
  <mergeCells count="1">
    <mergeCell ref="D25:D27"/>
  </mergeCells>
  <conditionalFormatting sqref="D6:G6 D52:G52">
    <cfRule type="expression" dxfId="12" priority="24">
      <formula>AND(D$4="Actuals",E$4="Forecast")</formula>
    </cfRule>
  </conditionalFormatting>
  <conditionalFormatting sqref="E12:H12 E14:H15">
    <cfRule type="expression" dxfId="11" priority="18">
      <formula>E$5="Forecast"</formula>
    </cfRule>
    <cfRule type="expression" dxfId="10" priority="19">
      <formula>E$5="Actuals"</formula>
    </cfRule>
  </conditionalFormatting>
  <conditionalFormatting sqref="D5:G6 D51:G52 I5:I12 I14:I54">
    <cfRule type="expression" dxfId="9" priority="17">
      <formula>AND(D$5="Actuals",E$5="Forecast")</formula>
    </cfRule>
  </conditionalFormatting>
  <conditionalFormatting sqref="D25">
    <cfRule type="expression" dxfId="8" priority="14">
      <formula>AND(E$4="Actuals",F$4="Forecast")</formula>
    </cfRule>
  </conditionalFormatting>
  <conditionalFormatting sqref="H6 H52">
    <cfRule type="expression" dxfId="7" priority="270">
      <formula>AND(H$4="Actuals",#REF!="Forecast")</formula>
    </cfRule>
  </conditionalFormatting>
  <conditionalFormatting sqref="H5:H6 H51:H52">
    <cfRule type="expression" dxfId="6" priority="278">
      <formula>AND(H$5="Actuals",#REF!="Forecast")</formula>
    </cfRule>
  </conditionalFormatting>
  <conditionalFormatting sqref="D7:H7">
    <cfRule type="expression" dxfId="5" priority="5">
      <formula>AND(D$5="Actuals",E$5="Forecast")</formula>
    </cfRule>
  </conditionalFormatting>
  <conditionalFormatting sqref="J17:J22">
    <cfRule type="expression" dxfId="4" priority="290">
      <formula>AND(I$5="Actuals",J$5="Forecast")</formula>
    </cfRule>
  </conditionalFormatting>
  <conditionalFormatting sqref="D12 D14:D15">
    <cfRule type="expression" dxfId="3" priority="3">
      <formula>D$5="Forecast"</formula>
    </cfRule>
    <cfRule type="expression" dxfId="2" priority="4">
      <formula>D$5="Actuals"</formula>
    </cfRule>
  </conditionalFormatting>
  <conditionalFormatting sqref="D22">
    <cfRule type="expression" dxfId="1" priority="1">
      <formula>D$5="Forecast"</formula>
    </cfRule>
    <cfRule type="expression" dxfId="0" priority="2">
      <formula>D$5="Actuals"</formula>
    </cfRule>
  </conditionalFormatting>
  <pageMargins left="0.70866141732283472" right="0.70866141732283472" top="0.74803149606299213" bottom="0.74803149606299213" header="0.31496062992125984" footer="0.31496062992125984"/>
  <pageSetup paperSize="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7fb15b9-fcbf-48f2-8000-3febecb0ac87">
      <UserInfo>
        <DisplayName>Chiara Oppo</DisplayName>
        <AccountId>1309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0C9C06626C5264BB8E56F32CB168917" ma:contentTypeVersion="6" ma:contentTypeDescription="Create a new document." ma:contentTypeScope="" ma:versionID="b30dbfb78b388dce6bbe50e173501ab3">
  <xsd:schema xmlns:xsd="http://www.w3.org/2001/XMLSchema" xmlns:xs="http://www.w3.org/2001/XMLSchema" xmlns:p="http://schemas.microsoft.com/office/2006/metadata/properties" xmlns:ns2="77030300-7095-45eb-b01e-00dcc83af8c6" xmlns:ns3="47fb15b9-fcbf-48f2-8000-3febecb0ac87" targetNamespace="http://schemas.microsoft.com/office/2006/metadata/properties" ma:root="true" ma:fieldsID="91f2d155d5bafa72b0056698fadc1ab3" ns2:_="" ns3:_="">
    <xsd:import namespace="77030300-7095-45eb-b01e-00dcc83af8c6"/>
    <xsd:import namespace="47fb15b9-fcbf-48f2-8000-3febecb0ac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030300-7095-45eb-b01e-00dcc83af8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fb15b9-fcbf-48f2-8000-3febecb0ac8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CC285FE4-1466-4BF7-8FA9-67F63A3D57B8}">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7fb15b9-fcbf-48f2-8000-3febecb0ac87"/>
    <ds:schemaRef ds:uri="http://purl.org/dc/elements/1.1/"/>
    <ds:schemaRef ds:uri="77030300-7095-45eb-b01e-00dcc83af8c6"/>
    <ds:schemaRef ds:uri="http://www.w3.org/XML/1998/namespace"/>
    <ds:schemaRef ds:uri="http://purl.org/dc/dcmitype/"/>
  </ds:schemaRefs>
</ds:datastoreItem>
</file>

<file path=customXml/itemProps2.xml><?xml version="1.0" encoding="utf-8"?>
<ds:datastoreItem xmlns:ds="http://schemas.openxmlformats.org/officeDocument/2006/customXml" ds:itemID="{BC4BFC9F-1441-4101-AD9A-FA52A3CACC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030300-7095-45eb-b01e-00dcc83af8c6"/>
    <ds:schemaRef ds:uri="47fb15b9-fcbf-48f2-8000-3febecb0ac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8114B6-BDD8-4CB5-AA20-4A909702B5CF}">
  <ds:schemaRefs>
    <ds:schemaRef ds:uri="http://schemas.microsoft.com/DataMashup"/>
  </ds:schemaRefs>
</ds:datastoreItem>
</file>

<file path=customXml/itemProps4.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5.xml><?xml version="1.0" encoding="utf-8"?>
<ds:datastoreItem xmlns:ds="http://schemas.openxmlformats.org/officeDocument/2006/customXml" ds:itemID="{0FF5722E-94C6-4A73-8B73-7386EEC8250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65</vt:i4>
      </vt:variant>
    </vt:vector>
  </HeadingPairs>
  <TitlesOfParts>
    <vt:vector size="80" baseType="lpstr">
      <vt:lpstr>RFPR cover</vt:lpstr>
      <vt:lpstr>Data</vt:lpstr>
      <vt:lpstr>Content &amp; Version Control</vt:lpstr>
      <vt:lpstr>Change log</vt:lpstr>
      <vt:lpstr>R1 - RoRE</vt:lpstr>
      <vt:lpstr>R2 - Rec to Revenue and Profit</vt:lpstr>
      <vt:lpstr>R3 - Totex - Reconciliation</vt:lpstr>
      <vt:lpstr>R4 - Incentives and Other Rev</vt:lpstr>
      <vt:lpstr>R5 - Financing</vt:lpstr>
      <vt:lpstr>R6 - Net Debt</vt:lpstr>
      <vt:lpstr>R7 - RAV</vt:lpstr>
      <vt:lpstr>R8 - Tax</vt:lpstr>
      <vt:lpstr>R8a - Tax Reconciliation</vt:lpstr>
      <vt:lpstr>R9 - Corporate Governance</vt:lpstr>
      <vt:lpstr>R10 - Pensions &amp; Oth Activities</vt:lpstr>
      <vt:lpstr>Adjusted_regulated_tax_liability</vt:lpstr>
      <vt:lpstr>Adjusted_regulated_tax_liability__Reporting_Year</vt:lpstr>
      <vt:lpstr>Business_Plan_Incentive</vt:lpstr>
      <vt:lpstr>calendar_year</vt:lpstr>
      <vt:lpstr>Combined_real_to_nominal_prices_conversion_factor__financial_year_end</vt:lpstr>
      <vt:lpstr>Corporate_Tax</vt:lpstr>
      <vt:lpstr>Cost_of_Equity</vt:lpstr>
      <vt:lpstr>Debt_performance___at_notional_gearing</vt:lpstr>
      <vt:lpstr>Debt_performance___impact_of_actual_gearing</vt:lpstr>
      <vt:lpstr>Equity_RAV_based_on_actual_gearing</vt:lpstr>
      <vt:lpstr>Equity_Return_on_the_RAV</vt:lpstr>
      <vt:lpstr>Licensee</vt:lpstr>
      <vt:lpstr>materiality_threshold</vt:lpstr>
      <vt:lpstr>N_A</vt:lpstr>
      <vt:lpstr>Navigate</vt:lpstr>
      <vt:lpstr>Notional_Gearing</vt:lpstr>
      <vt:lpstr>NPV_neutral_equity_element_of_RAV</vt:lpstr>
      <vt:lpstr>ODI_1</vt:lpstr>
      <vt:lpstr>ODI_2</vt:lpstr>
      <vt:lpstr>ODI_3</vt:lpstr>
      <vt:lpstr>ODI_4</vt:lpstr>
      <vt:lpstr>ODI_5</vt:lpstr>
      <vt:lpstr>ODI_6</vt:lpstr>
      <vt:lpstr>ORA_1</vt:lpstr>
      <vt:lpstr>ORA_2</vt:lpstr>
      <vt:lpstr>ORA_3</vt:lpstr>
      <vt:lpstr>ORA_4</vt:lpstr>
      <vt:lpstr>ORA_5</vt:lpstr>
      <vt:lpstr>ORA_6</vt:lpstr>
      <vt:lpstr>ORA_7</vt:lpstr>
      <vt:lpstr>ORA_8</vt:lpstr>
      <vt:lpstr>Penalties_and_fines</vt:lpstr>
      <vt:lpstr>Price_basis</vt:lpstr>
      <vt:lpstr>'Change log'!Print_Area</vt:lpstr>
      <vt:lpstr>'Content &amp; Version Control'!Print_Area</vt:lpstr>
      <vt:lpstr>'R1 - RoRE'!Print_Area</vt:lpstr>
      <vt:lpstr>'R10 - Pensions &amp; Oth Activities'!Print_Area</vt:lpstr>
      <vt:lpstr>'R2 - Rec to Revenue and Profit'!Print_Area</vt:lpstr>
      <vt:lpstr>'R3 - Totex - Reconciliation'!Print_Area</vt:lpstr>
      <vt:lpstr>'R4 - Incentives and Other Rev'!Print_Area</vt:lpstr>
      <vt:lpstr>'R5 - Financing'!Print_Area</vt:lpstr>
      <vt:lpstr>'R6 - Net Debt'!Print_Area</vt:lpstr>
      <vt:lpstr>'R7 - RAV'!Print_Area</vt:lpstr>
      <vt:lpstr>'R8 - Tax'!Print_Area</vt:lpstr>
      <vt:lpstr>'R8a - Tax Reconciliation'!Print_Area</vt:lpstr>
      <vt:lpstr>'R9 - Corporate Governance'!Print_Area</vt:lpstr>
      <vt:lpstr>'RFPR cover'!Print_Area</vt:lpstr>
      <vt:lpstr>'R8a - Tax Reconciliation'!Print_Titles</vt:lpstr>
      <vt:lpstr>real_to_nominal_CF</vt:lpstr>
      <vt:lpstr>Reporting_Year</vt:lpstr>
      <vt:lpstr>reporting_yearCov</vt:lpstr>
      <vt:lpstr>RIIO_2_start_date</vt:lpstr>
      <vt:lpstr>RoRE___including_financing_and_tax</vt:lpstr>
      <vt:lpstr>RoRE___Operational_performance</vt:lpstr>
      <vt:lpstr>Sector</vt:lpstr>
      <vt:lpstr>SectorCov</vt:lpstr>
      <vt:lpstr>Sharing_Factor</vt:lpstr>
      <vt:lpstr>Submitted_Date</vt:lpstr>
      <vt:lpstr>Tax_liability_per_latest_submitted_CT600____Reporting_Year</vt:lpstr>
      <vt:lpstr>Tax_performance___at_notional_gearing</vt:lpstr>
      <vt:lpstr>Tax_performance___impact_of_actual_gearing</vt:lpstr>
      <vt:lpstr>Totex_outperformance</vt:lpstr>
      <vt:lpstr>Version__Number</vt:lpstr>
      <vt:lpstr>YEFactor</vt:lpstr>
      <vt:lpstr>YEFactor_change</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RIIO-2 RFPR</dc:title>
  <dc:subject/>
  <dc:creator>Mick Watson</dc:creator>
  <cp:keywords/>
  <dc:description/>
  <cp:lastModifiedBy>Maurya, Shonalee</cp:lastModifiedBy>
  <cp:revision/>
  <dcterms:created xsi:type="dcterms:W3CDTF">2018-06-13T08:32:09Z</dcterms:created>
  <dcterms:modified xsi:type="dcterms:W3CDTF">2022-08-31T13:49:51Z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5d722096-b8a2-4daa-8dfd-9830cd657cb0</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0x010100D0C9C06626C5264BB8E56F32CB168917</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bjClsUserRVM">
    <vt:lpwstr>[]</vt:lpwstr>
  </property>
  <property fmtid="{D5CDD505-2E9C-101B-9397-08002B2CF9AE}" pid="14" name="bjDocumentSecurityLabel">
    <vt:lpwstr>OFFICIAL</vt:lpwstr>
  </property>
  <property fmtid="{D5CDD505-2E9C-101B-9397-08002B2CF9AE}" pid="15"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16" name="bjDocumentLabelXML-0">
    <vt:lpwstr>ames.com/2008/01/sie/internal/label"&gt;&lt;element uid="id_classification_nonbusiness" value="" /&gt;&lt;/sisl&gt;</vt:lpwstr>
  </property>
  <property fmtid="{D5CDD505-2E9C-101B-9397-08002B2CF9AE}" pid="17" name="MediaServiceImageTags">
    <vt:lpwstr/>
  </property>
  <property fmtid="{D5CDD505-2E9C-101B-9397-08002B2CF9AE}" pid="18" name="MSIP_Label_7a28ff59-1dd3-406f-be87-f82473b549be_Enabled">
    <vt:lpwstr>True</vt:lpwstr>
  </property>
  <property fmtid="{D5CDD505-2E9C-101B-9397-08002B2CF9AE}" pid="19" name="MSIP_Label_7a28ff59-1dd3-406f-be87-f82473b549be_SiteId">
    <vt:lpwstr>de0d74aa-9914-4bb9-9235-fbefe83b1769</vt:lpwstr>
  </property>
  <property fmtid="{D5CDD505-2E9C-101B-9397-08002B2CF9AE}" pid="20" name="MSIP_Label_7a28ff59-1dd3-406f-be87-f82473b549be_Owner">
    <vt:lpwstr>Shonalee.Maurya@cadentgas.com</vt:lpwstr>
  </property>
  <property fmtid="{D5CDD505-2E9C-101B-9397-08002B2CF9AE}" pid="21" name="MSIP_Label_7a28ff59-1dd3-406f-be87-f82473b549be_SetDate">
    <vt:lpwstr>2022-07-19T13:10:59.4979131Z</vt:lpwstr>
  </property>
  <property fmtid="{D5CDD505-2E9C-101B-9397-08002B2CF9AE}" pid="22" name="MSIP_Label_7a28ff59-1dd3-406f-be87-f82473b549be_Name">
    <vt:lpwstr>Cadent - Official</vt:lpwstr>
  </property>
  <property fmtid="{D5CDD505-2E9C-101B-9397-08002B2CF9AE}" pid="23" name="MSIP_Label_7a28ff59-1dd3-406f-be87-f82473b549be_Application">
    <vt:lpwstr>Microsoft Azure Information Protection</vt:lpwstr>
  </property>
  <property fmtid="{D5CDD505-2E9C-101B-9397-08002B2CF9AE}" pid="24" name="MSIP_Label_7a28ff59-1dd3-406f-be87-f82473b549be_Extended_MSFT_Method">
    <vt:lpwstr>Automatic</vt:lpwstr>
  </property>
  <property fmtid="{D5CDD505-2E9C-101B-9397-08002B2CF9AE}" pid="25" name="MSIP_Label_2b73dd0b-afe1-4a46-943f-1bdb914b8a49_Enabled">
    <vt:lpwstr>True</vt:lpwstr>
  </property>
  <property fmtid="{D5CDD505-2E9C-101B-9397-08002B2CF9AE}" pid="26" name="MSIP_Label_2b73dd0b-afe1-4a46-943f-1bdb914b8a49_SiteId">
    <vt:lpwstr>b9563cbc-9874-41ab-b448-7e0f61aff3eb</vt:lpwstr>
  </property>
  <property fmtid="{D5CDD505-2E9C-101B-9397-08002B2CF9AE}" pid="27" name="MSIP_Label_2b73dd0b-afe1-4a46-943f-1bdb914b8a49_SetDate">
    <vt:lpwstr>2020-07-13T09:54:54Z</vt:lpwstr>
  </property>
  <property fmtid="{D5CDD505-2E9C-101B-9397-08002B2CF9AE}" pid="28" name="MSIP_Label_2b73dd0b-afe1-4a46-943f-1bdb914b8a49_Name">
    <vt:lpwstr>Internal</vt:lpwstr>
  </property>
  <property fmtid="{D5CDD505-2E9C-101B-9397-08002B2CF9AE}" pid="29" name="MSIP_Label_38144ccb-b10a-4c0f-b070-7a3b00ac7463_Enabled">
    <vt:lpwstr>True</vt:lpwstr>
  </property>
  <property fmtid="{D5CDD505-2E9C-101B-9397-08002B2CF9AE}" pid="30" name="MSIP_Label_38144ccb-b10a-4c0f-b070-7a3b00ac7463_SiteId">
    <vt:lpwstr>185562ad-39bc-4840-8e40-be6216340c52</vt:lpwstr>
  </property>
  <property fmtid="{D5CDD505-2E9C-101B-9397-08002B2CF9AE}" pid="31" name="MSIP_Label_38144ccb-b10a-4c0f-b070-7a3b00ac7463_SetDate">
    <vt:lpwstr>2022-05-27T11:21:22Z</vt:lpwstr>
  </property>
  <property fmtid="{D5CDD505-2E9C-101B-9397-08002B2CF9AE}" pid="32" name="MSIP_Label_38144ccb-b10a-4c0f-b070-7a3b00ac7463_Name">
    <vt:lpwstr>InternalOnly</vt:lpwstr>
  </property>
  <property fmtid="{D5CDD505-2E9C-101B-9397-08002B2CF9AE}" pid="33" name="Sensitivity">
    <vt:lpwstr>Cadent - Official Internal InternalOnly</vt:lpwstr>
  </property>
</Properties>
</file>